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TE\OK\neamt colectare\2026\NFP Tg Neamt\"/>
    </mc:Choice>
  </mc:AlternateContent>
  <xr:revisionPtr revIDLastSave="0" documentId="8_{CD686158-8F84-4EEA-8DB9-4EF3011377AC}" xr6:coauthVersionLast="47" xr6:coauthVersionMax="47" xr10:uidLastSave="{00000000-0000-0000-0000-000000000000}"/>
  <bookViews>
    <workbookView xWindow="-120" yWindow="-120" windowWidth="24240" windowHeight="13020" tabRatio="724" xr2:uid="{00000000-000D-0000-FFFF-FFFF00000000}"/>
  </bookViews>
  <sheets>
    <sheet name=" Anexa 7" sheetId="9" r:id="rId1"/>
    <sheet name=" Anexa 8" sheetId="8" r:id="rId2"/>
    <sheet name="Anexa 4" sheetId="7" r:id="rId3"/>
    <sheet name=" Anexa 3 p" sheetId="5" state="hidden" r:id="rId4"/>
    <sheet name="Anexa 3 c" sheetId="6" r:id="rId5"/>
    <sheet name="Anexa 2" sheetId="4" r:id="rId6"/>
    <sheet name="Sheet1" sheetId="1" r:id="rId7"/>
    <sheet name="Sheet2" sheetId="2" r:id="rId8"/>
  </sheets>
  <definedNames>
    <definedName name="_xlnm.Print_Area" localSheetId="5">'Anexa 2'!$A$1:$H$25</definedName>
    <definedName name="_xlnm.Print_Area" localSheetId="2">'Anexa 4'!$A$1:$Q$25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5" i="7" l="1"/>
  <c r="P15" i="7"/>
  <c r="F24" i="4"/>
  <c r="G24" i="4"/>
  <c r="H24" i="4"/>
  <c r="F6" i="4"/>
  <c r="G6" i="4"/>
  <c r="H6" i="4"/>
  <c r="Q26" i="7" l="1"/>
  <c r="P26" i="7"/>
  <c r="O26" i="7"/>
  <c r="K26" i="7"/>
  <c r="J26" i="7"/>
  <c r="I26" i="7"/>
  <c r="Q5" i="7"/>
  <c r="Q6" i="7" s="1"/>
  <c r="P5" i="7"/>
  <c r="P6" i="7" s="1"/>
  <c r="O5" i="7"/>
  <c r="O6" i="7" s="1"/>
  <c r="J5" i="7"/>
  <c r="I5" i="7"/>
  <c r="K5" i="7"/>
  <c r="S20" i="7"/>
  <c r="T20" i="7"/>
  <c r="T21" i="7" s="1"/>
  <c r="R20" i="7"/>
  <c r="X20" i="7"/>
  <c r="W20" i="7"/>
  <c r="Y19" i="7"/>
  <c r="S21" i="7"/>
  <c r="R21" i="7"/>
  <c r="S19" i="7"/>
  <c r="T19" i="7"/>
  <c r="R19" i="7"/>
  <c r="R15" i="7"/>
  <c r="R6" i="7"/>
  <c r="R7" i="7"/>
  <c r="S17" i="7"/>
  <c r="T17" i="7"/>
  <c r="R17" i="7"/>
  <c r="S16" i="7"/>
  <c r="T16" i="7"/>
  <c r="R16" i="7"/>
  <c r="X16" i="7"/>
  <c r="W16" i="7"/>
  <c r="Y15" i="7"/>
  <c r="S15" i="7"/>
  <c r="T15" i="7"/>
  <c r="N6" i="7"/>
  <c r="U5" i="7"/>
  <c r="V5" i="7"/>
  <c r="E24" i="4" l="1"/>
  <c r="I8" i="4" s="1"/>
  <c r="V12" i="7"/>
  <c r="S12" i="7"/>
  <c r="U12" i="7" s="1"/>
  <c r="W12" i="7" s="1"/>
  <c r="U10" i="7"/>
  <c r="W10" i="7" s="1"/>
  <c r="W8" i="7"/>
  <c r="V9" i="7" s="1"/>
  <c r="T5" i="7"/>
  <c r="S5" i="7"/>
  <c r="R5" i="7"/>
  <c r="I10" i="4"/>
  <c r="I11" i="4"/>
  <c r="F11" i="7" s="1"/>
  <c r="I22" i="4"/>
  <c r="I23" i="4"/>
  <c r="F23" i="7" s="1"/>
  <c r="F6" i="7"/>
  <c r="D24" i="7"/>
  <c r="J22" i="6"/>
  <c r="I22" i="6"/>
  <c r="H22" i="6"/>
  <c r="G22" i="6"/>
  <c r="F22" i="6"/>
  <c r="E22" i="6"/>
  <c r="D22" i="6"/>
  <c r="C22" i="6"/>
  <c r="J4" i="6"/>
  <c r="I4" i="6"/>
  <c r="H4" i="6"/>
  <c r="G4" i="6"/>
  <c r="F4" i="6"/>
  <c r="E4" i="6"/>
  <c r="D4" i="6"/>
  <c r="C4" i="6"/>
  <c r="F22" i="5"/>
  <c r="E22" i="5"/>
  <c r="D22" i="5"/>
  <c r="C22" i="5"/>
  <c r="F4" i="5"/>
  <c r="E4" i="5"/>
  <c r="D4" i="5"/>
  <c r="D23" i="5" s="1"/>
  <c r="C4" i="5"/>
  <c r="E6" i="4"/>
  <c r="I7" i="4" l="1"/>
  <c r="O11" i="7"/>
  <c r="P11" i="7"/>
  <c r="Q11" i="7"/>
  <c r="N11" i="7"/>
  <c r="Q10" i="7"/>
  <c r="P10" i="7"/>
  <c r="O10" i="7"/>
  <c r="N10" i="7"/>
  <c r="I21" i="4"/>
  <c r="I20" i="4"/>
  <c r="I19" i="4"/>
  <c r="I18" i="4"/>
  <c r="O23" i="7"/>
  <c r="N23" i="7"/>
  <c r="P23" i="7"/>
  <c r="Q23" i="7"/>
  <c r="N7" i="7"/>
  <c r="O7" i="7"/>
  <c r="P7" i="7"/>
  <c r="Q7" i="7"/>
  <c r="I25" i="4"/>
  <c r="J14" i="4" s="1"/>
  <c r="I17" i="4"/>
  <c r="I15" i="4"/>
  <c r="P22" i="7"/>
  <c r="N22" i="7"/>
  <c r="O22" i="7"/>
  <c r="Q22" i="7"/>
  <c r="F10" i="7"/>
  <c r="I9" i="4"/>
  <c r="I16" i="4"/>
  <c r="I13" i="4"/>
  <c r="O8" i="7"/>
  <c r="P8" i="7"/>
  <c r="Q8" i="7"/>
  <c r="N8" i="7"/>
  <c r="F22" i="7"/>
  <c r="F7" i="7"/>
  <c r="I14" i="4"/>
  <c r="I12" i="4"/>
  <c r="F8" i="7"/>
  <c r="F16" i="7"/>
  <c r="S6" i="7"/>
  <c r="S7" i="7" s="1"/>
  <c r="T6" i="7"/>
  <c r="T7" i="7" s="1"/>
  <c r="U9" i="7"/>
  <c r="J17" i="4"/>
  <c r="J16" i="4"/>
  <c r="C23" i="6"/>
  <c r="J23" i="6"/>
  <c r="D23" i="6"/>
  <c r="E23" i="6"/>
  <c r="H23" i="6"/>
  <c r="F23" i="6"/>
  <c r="I23" i="6"/>
  <c r="G23" i="6"/>
  <c r="E23" i="5"/>
  <c r="F23" i="5"/>
  <c r="C23" i="5"/>
  <c r="J4" i="1"/>
  <c r="L4" i="1"/>
  <c r="O4" i="1"/>
  <c r="S4" i="1"/>
  <c r="T4" i="1"/>
  <c r="V4" i="1"/>
  <c r="W4" i="1"/>
  <c r="Y4" i="1"/>
  <c r="Z4" i="1"/>
  <c r="AB4" i="1"/>
  <c r="AB5" i="1" s="1"/>
  <c r="AB24" i="1" s="1"/>
  <c r="AC4" i="1"/>
  <c r="AC24" i="1" s="1"/>
  <c r="AF4" i="1"/>
  <c r="AH4" i="1" s="1"/>
  <c r="AG4" i="1"/>
  <c r="AI4" i="1"/>
  <c r="AK4" i="1" s="1"/>
  <c r="AN4" i="1" s="1"/>
  <c r="AP4" i="1" s="1"/>
  <c r="AJ4" i="1"/>
  <c r="AM4" i="1" s="1"/>
  <c r="AL4" i="1"/>
  <c r="D5" i="1"/>
  <c r="E5" i="1"/>
  <c r="F5" i="1"/>
  <c r="G5" i="1"/>
  <c r="H5" i="1"/>
  <c r="I5" i="1"/>
  <c r="I24" i="1" s="1"/>
  <c r="J5" i="1"/>
  <c r="K5" i="1"/>
  <c r="L5" i="1"/>
  <c r="M5" i="1"/>
  <c r="N5" i="1"/>
  <c r="O5" i="1"/>
  <c r="P5" i="1"/>
  <c r="P24" i="1" s="1"/>
  <c r="R5" i="1"/>
  <c r="R24" i="1" s="1"/>
  <c r="S5" i="1"/>
  <c r="U5" i="1"/>
  <c r="U24" i="1" s="1"/>
  <c r="V5" i="1"/>
  <c r="X5" i="1"/>
  <c r="X24" i="1" s="1"/>
  <c r="Y5" i="1"/>
  <c r="Y24" i="1" s="1"/>
  <c r="AA5" i="1"/>
  <c r="AD5" i="1"/>
  <c r="AF5" i="1" s="1"/>
  <c r="AG5" i="1"/>
  <c r="AI5" i="1"/>
  <c r="AJ5" i="1"/>
  <c r="AM5" i="1"/>
  <c r="E6" i="1"/>
  <c r="E23" i="1" s="1"/>
  <c r="G6" i="1"/>
  <c r="G23" i="1" s="1"/>
  <c r="S6" i="1"/>
  <c r="S23" i="1" s="1"/>
  <c r="T6" i="1"/>
  <c r="T23" i="1" s="1"/>
  <c r="V6" i="1"/>
  <c r="V23" i="1" s="1"/>
  <c r="W6" i="1"/>
  <c r="Y6" i="1"/>
  <c r="Z6" i="1"/>
  <c r="AB6" i="1"/>
  <c r="AC6" i="1"/>
  <c r="AF6" i="1"/>
  <c r="AF23" i="1" s="1"/>
  <c r="AG6" i="1"/>
  <c r="AG23" i="1" s="1"/>
  <c r="AG24" i="1" s="1"/>
  <c r="AI6" i="1"/>
  <c r="AI23" i="1" s="1"/>
  <c r="AI24" i="1" s="1"/>
  <c r="AJ6" i="1"/>
  <c r="AJ23" i="1" s="1"/>
  <c r="AJ24" i="1" s="1"/>
  <c r="AM6" i="1"/>
  <c r="E7" i="1"/>
  <c r="G7" i="1"/>
  <c r="O7" i="1"/>
  <c r="Q7" i="1"/>
  <c r="S7" i="1"/>
  <c r="T7" i="1"/>
  <c r="V7" i="1"/>
  <c r="W7" i="1"/>
  <c r="Y7" i="1"/>
  <c r="Z7" i="1"/>
  <c r="AB7" i="1"/>
  <c r="AB23" i="1" s="1"/>
  <c r="AC7" i="1"/>
  <c r="AC23" i="1" s="1"/>
  <c r="AC27" i="1" s="1"/>
  <c r="AF7" i="1"/>
  <c r="AG7" i="1"/>
  <c r="AI7" i="1"/>
  <c r="AL7" i="1" s="1"/>
  <c r="AJ7" i="1"/>
  <c r="AM7" i="1" s="1"/>
  <c r="AK7" i="1"/>
  <c r="AN7" i="1" s="1"/>
  <c r="AP7" i="1" s="1"/>
  <c r="AQ7" i="1" s="1"/>
  <c r="E8" i="1"/>
  <c r="G8" i="1"/>
  <c r="S8" i="1"/>
  <c r="T8" i="1"/>
  <c r="V8" i="1"/>
  <c r="W8" i="1"/>
  <c r="Y8" i="1"/>
  <c r="Z8" i="1"/>
  <c r="AB8" i="1"/>
  <c r="AC8" i="1"/>
  <c r="AF8" i="1"/>
  <c r="AG8" i="1"/>
  <c r="AI8" i="1"/>
  <c r="AL8" i="1" s="1"/>
  <c r="AJ8" i="1"/>
  <c r="AK8" i="1"/>
  <c r="AN8" i="1" s="1"/>
  <c r="AP8" i="1" s="1"/>
  <c r="AQ8" i="1" s="1"/>
  <c r="AM8" i="1"/>
  <c r="E9" i="1"/>
  <c r="G9" i="1"/>
  <c r="S9" i="1"/>
  <c r="T9" i="1"/>
  <c r="V9" i="1"/>
  <c r="W9" i="1"/>
  <c r="Y9" i="1"/>
  <c r="Z9" i="1"/>
  <c r="AB9" i="1"/>
  <c r="AC9" i="1"/>
  <c r="AF9" i="1"/>
  <c r="AG9" i="1"/>
  <c r="AI9" i="1"/>
  <c r="AJ9" i="1"/>
  <c r="AM9" i="1" s="1"/>
  <c r="AL9" i="1"/>
  <c r="E10" i="1"/>
  <c r="G10" i="1"/>
  <c r="O10" i="1"/>
  <c r="Q10" i="1"/>
  <c r="S10" i="1"/>
  <c r="T10" i="1"/>
  <c r="V10" i="1"/>
  <c r="W10" i="1"/>
  <c r="Y10" i="1"/>
  <c r="Z10" i="1"/>
  <c r="AB10" i="1"/>
  <c r="AC10" i="1"/>
  <c r="AF10" i="1"/>
  <c r="AG10" i="1"/>
  <c r="AI10" i="1"/>
  <c r="AL10" i="1" s="1"/>
  <c r="AJ10" i="1"/>
  <c r="AM10" i="1" s="1"/>
  <c r="AK10" i="1"/>
  <c r="AN10" i="1" s="1"/>
  <c r="AP10" i="1" s="1"/>
  <c r="AQ10" i="1" s="1"/>
  <c r="E11" i="1"/>
  <c r="G11" i="1"/>
  <c r="O11" i="1"/>
  <c r="O23" i="1" s="1"/>
  <c r="Q11" i="1"/>
  <c r="Q23" i="1" s="1"/>
  <c r="Q24" i="1" s="1"/>
  <c r="S11" i="1"/>
  <c r="T11" i="1"/>
  <c r="T27" i="1" s="1"/>
  <c r="V27" i="1" s="1"/>
  <c r="V28" i="1" s="1"/>
  <c r="V11" i="1"/>
  <c r="W11" i="1"/>
  <c r="W23" i="1" s="1"/>
  <c r="Y11" i="1"/>
  <c r="Z11" i="1"/>
  <c r="AB11" i="1"/>
  <c r="AC11" i="1"/>
  <c r="AF11" i="1"/>
  <c r="AG11" i="1"/>
  <c r="AH11" i="1" s="1"/>
  <c r="AI11" i="1"/>
  <c r="AJ11" i="1"/>
  <c r="AM11" i="1"/>
  <c r="E12" i="1"/>
  <c r="G12" i="1"/>
  <c r="O12" i="1"/>
  <c r="Q12" i="1"/>
  <c r="S12" i="1"/>
  <c r="T12" i="1"/>
  <c r="V12" i="1"/>
  <c r="W12" i="1"/>
  <c r="Y12" i="1"/>
  <c r="Z12" i="1"/>
  <c r="AB12" i="1"/>
  <c r="AC12" i="1"/>
  <c r="AF12" i="1"/>
  <c r="AG12" i="1"/>
  <c r="AI12" i="1"/>
  <c r="AL12" i="1" s="1"/>
  <c r="AJ12" i="1"/>
  <c r="AM12" i="1"/>
  <c r="E13" i="1"/>
  <c r="G13" i="1"/>
  <c r="O13" i="1"/>
  <c r="Q13" i="1"/>
  <c r="S13" i="1"/>
  <c r="T13" i="1"/>
  <c r="V13" i="1"/>
  <c r="W13" i="1"/>
  <c r="Y13" i="1"/>
  <c r="Y23" i="1" s="1"/>
  <c r="Z13" i="1"/>
  <c r="AB13" i="1"/>
  <c r="AC13" i="1"/>
  <c r="AF13" i="1"/>
  <c r="AG13" i="1"/>
  <c r="AI13" i="1"/>
  <c r="AJ13" i="1"/>
  <c r="AM13" i="1"/>
  <c r="E14" i="1"/>
  <c r="G14" i="1"/>
  <c r="S14" i="1"/>
  <c r="T14" i="1"/>
  <c r="V14" i="1"/>
  <c r="W14" i="1"/>
  <c r="Y14" i="1"/>
  <c r="Z14" i="1"/>
  <c r="AB14" i="1"/>
  <c r="AC14" i="1"/>
  <c r="AF14" i="1"/>
  <c r="AG14" i="1"/>
  <c r="AH14" i="1" s="1"/>
  <c r="AI14" i="1"/>
  <c r="AJ14" i="1"/>
  <c r="AM14" i="1"/>
  <c r="E15" i="1"/>
  <c r="G15" i="1"/>
  <c r="S15" i="1"/>
  <c r="T15" i="1"/>
  <c r="V15" i="1"/>
  <c r="W15" i="1"/>
  <c r="Y15" i="1"/>
  <c r="Z15" i="1"/>
  <c r="AB15" i="1"/>
  <c r="AC15" i="1"/>
  <c r="AF15" i="1"/>
  <c r="AG15" i="1"/>
  <c r="AH15" i="1" s="1"/>
  <c r="AI15" i="1"/>
  <c r="AK15" i="1" s="1"/>
  <c r="AN15" i="1" s="1"/>
  <c r="AP15" i="1" s="1"/>
  <c r="AQ15" i="1" s="1"/>
  <c r="AJ15" i="1"/>
  <c r="AM15" i="1" s="1"/>
  <c r="E16" i="1"/>
  <c r="G16" i="1"/>
  <c r="S16" i="1"/>
  <c r="T16" i="1"/>
  <c r="V16" i="1"/>
  <c r="W16" i="1"/>
  <c r="Y16" i="1"/>
  <c r="Z16" i="1"/>
  <c r="AB16" i="1"/>
  <c r="AC16" i="1"/>
  <c r="AF16" i="1"/>
  <c r="AG16" i="1"/>
  <c r="AH16" i="1" s="1"/>
  <c r="AI16" i="1"/>
  <c r="AJ16" i="1"/>
  <c r="AM16" i="1" s="1"/>
  <c r="E17" i="1"/>
  <c r="G17" i="1"/>
  <c r="S17" i="1"/>
  <c r="T17" i="1"/>
  <c r="V17" i="1"/>
  <c r="W17" i="1"/>
  <c r="Y17" i="1"/>
  <c r="Z17" i="1"/>
  <c r="AB17" i="1"/>
  <c r="AC17" i="1"/>
  <c r="AF17" i="1"/>
  <c r="AH17" i="1" s="1"/>
  <c r="AG17" i="1"/>
  <c r="AI17" i="1"/>
  <c r="AJ17" i="1"/>
  <c r="AM17" i="1"/>
  <c r="E18" i="1"/>
  <c r="G18" i="1"/>
  <c r="S18" i="1"/>
  <c r="T18" i="1"/>
  <c r="V18" i="1"/>
  <c r="W18" i="1"/>
  <c r="Y18" i="1"/>
  <c r="Z18" i="1"/>
  <c r="AB18" i="1"/>
  <c r="AC18" i="1"/>
  <c r="AF18" i="1"/>
  <c r="AG18" i="1"/>
  <c r="AI18" i="1"/>
  <c r="AJ18" i="1"/>
  <c r="AM18" i="1"/>
  <c r="E19" i="1"/>
  <c r="G19" i="1"/>
  <c r="S19" i="1"/>
  <c r="T19" i="1"/>
  <c r="V19" i="1"/>
  <c r="W19" i="1"/>
  <c r="Y19" i="1"/>
  <c r="Z19" i="1"/>
  <c r="AB19" i="1"/>
  <c r="AC19" i="1"/>
  <c r="AF19" i="1"/>
  <c r="AG19" i="1"/>
  <c r="AI19" i="1"/>
  <c r="AK19" i="1" s="1"/>
  <c r="AN19" i="1" s="1"/>
  <c r="AP19" i="1" s="1"/>
  <c r="AQ19" i="1" s="1"/>
  <c r="AJ19" i="1"/>
  <c r="AM19" i="1" s="1"/>
  <c r="E20" i="1"/>
  <c r="G20" i="1"/>
  <c r="S20" i="1"/>
  <c r="T20" i="1"/>
  <c r="V20" i="1"/>
  <c r="W20" i="1"/>
  <c r="Y20" i="1"/>
  <c r="Z20" i="1"/>
  <c r="AB20" i="1"/>
  <c r="AC20" i="1"/>
  <c r="AF20" i="1"/>
  <c r="AH20" i="1" s="1"/>
  <c r="AG20" i="1"/>
  <c r="AI20" i="1"/>
  <c r="AL20" i="1" s="1"/>
  <c r="AJ20" i="1"/>
  <c r="AM20" i="1"/>
  <c r="E21" i="1"/>
  <c r="G21" i="1"/>
  <c r="S21" i="1"/>
  <c r="T21" i="1"/>
  <c r="V21" i="1"/>
  <c r="W21" i="1"/>
  <c r="Y21" i="1"/>
  <c r="Z21" i="1"/>
  <c r="AB21" i="1"/>
  <c r="AC21" i="1"/>
  <c r="AF21" i="1"/>
  <c r="AG21" i="1"/>
  <c r="AI21" i="1"/>
  <c r="AL21" i="1" s="1"/>
  <c r="AJ21" i="1"/>
  <c r="AK21" i="1"/>
  <c r="AN21" i="1" s="1"/>
  <c r="AP21" i="1" s="1"/>
  <c r="AQ21" i="1" s="1"/>
  <c r="AM21" i="1"/>
  <c r="E22" i="1"/>
  <c r="G22" i="1"/>
  <c r="S22" i="1"/>
  <c r="T22" i="1"/>
  <c r="V22" i="1"/>
  <c r="W22" i="1"/>
  <c r="Y22" i="1"/>
  <c r="Z22" i="1"/>
  <c r="AB22" i="1"/>
  <c r="AC22" i="1"/>
  <c r="AF22" i="1"/>
  <c r="AG22" i="1"/>
  <c r="AI22" i="1"/>
  <c r="AJ22" i="1"/>
  <c r="AM22" i="1" s="1"/>
  <c r="AS22" i="1"/>
  <c r="D23" i="1"/>
  <c r="F23" i="1"/>
  <c r="H23" i="1"/>
  <c r="I23" i="1"/>
  <c r="J23" i="1"/>
  <c r="K23" i="1"/>
  <c r="M23" i="1"/>
  <c r="M24" i="1" s="1"/>
  <c r="N23" i="1"/>
  <c r="N24" i="1" s="1"/>
  <c r="P23" i="1"/>
  <c r="R23" i="1"/>
  <c r="U23" i="1"/>
  <c r="X23" i="1"/>
  <c r="Z23" i="1"/>
  <c r="Z27" i="1" s="1"/>
  <c r="AA23" i="1"/>
  <c r="AD23" i="1"/>
  <c r="D24" i="1"/>
  <c r="F24" i="1"/>
  <c r="H24" i="1"/>
  <c r="J24" i="1"/>
  <c r="AA24" i="1"/>
  <c r="AD24" i="1"/>
  <c r="F27" i="1"/>
  <c r="F30" i="1" s="1"/>
  <c r="F32" i="1" s="1"/>
  <c r="I27" i="1"/>
  <c r="I30" i="1" s="1"/>
  <c r="I32" i="1" s="1"/>
  <c r="M27" i="1"/>
  <c r="M30" i="1" s="1"/>
  <c r="M32" i="1" s="1"/>
  <c r="O27" i="1"/>
  <c r="O30" i="1" s="1"/>
  <c r="O32" i="1" s="1"/>
  <c r="D28" i="1"/>
  <c r="H28" i="1"/>
  <c r="K28" i="1"/>
  <c r="N28" i="1"/>
  <c r="F29" i="1"/>
  <c r="F31" i="1" s="1"/>
  <c r="I29" i="1"/>
  <c r="I31" i="1" s="1"/>
  <c r="M29" i="1"/>
  <c r="M31" i="1" s="1"/>
  <c r="O29" i="1"/>
  <c r="O31" i="1" s="1"/>
  <c r="U32" i="1"/>
  <c r="J9" i="4" l="1"/>
  <c r="J13" i="4"/>
  <c r="H13" i="7" s="1"/>
  <c r="O19" i="7"/>
  <c r="N19" i="7"/>
  <c r="P19" i="7"/>
  <c r="Q19" i="7"/>
  <c r="F19" i="7"/>
  <c r="O20" i="7"/>
  <c r="P20" i="7"/>
  <c r="Q20" i="7"/>
  <c r="N20" i="7"/>
  <c r="F20" i="7"/>
  <c r="J18" i="4"/>
  <c r="J5" i="4"/>
  <c r="M5" i="7" s="1"/>
  <c r="M6" i="7" s="1"/>
  <c r="J7" i="4"/>
  <c r="O21" i="7"/>
  <c r="P21" i="7"/>
  <c r="N21" i="7"/>
  <c r="Q21" i="7"/>
  <c r="F21" i="7"/>
  <c r="J8" i="4"/>
  <c r="L8" i="7" s="1"/>
  <c r="J20" i="4"/>
  <c r="G20" i="7" s="1"/>
  <c r="F13" i="7"/>
  <c r="F24" i="7" s="1"/>
  <c r="F25" i="7" s="1"/>
  <c r="O13" i="7"/>
  <c r="P13" i="7"/>
  <c r="Q13" i="7"/>
  <c r="N13" i="7"/>
  <c r="N18" i="7"/>
  <c r="Q18" i="7"/>
  <c r="P18" i="7"/>
  <c r="O18" i="7"/>
  <c r="F18" i="7"/>
  <c r="O16" i="7"/>
  <c r="N16" i="7"/>
  <c r="P16" i="7"/>
  <c r="Q16" i="7"/>
  <c r="J23" i="4"/>
  <c r="J10" i="4"/>
  <c r="J15" i="4"/>
  <c r="L15" i="7" s="1"/>
  <c r="Q12" i="7"/>
  <c r="O12" i="7"/>
  <c r="N12" i="7"/>
  <c r="P12" i="7"/>
  <c r="F12" i="7"/>
  <c r="F15" i="7"/>
  <c r="O15" i="7"/>
  <c r="N15" i="7"/>
  <c r="Q15" i="7"/>
  <c r="F17" i="7"/>
  <c r="N17" i="7"/>
  <c r="O17" i="7"/>
  <c r="P17" i="7"/>
  <c r="Q17" i="7"/>
  <c r="J19" i="4"/>
  <c r="H19" i="7" s="1"/>
  <c r="J21" i="4"/>
  <c r="E21" i="7" s="1"/>
  <c r="J11" i="4"/>
  <c r="G11" i="7" s="1"/>
  <c r="F14" i="7"/>
  <c r="N14" i="7"/>
  <c r="O14" i="7"/>
  <c r="P14" i="7"/>
  <c r="Q14" i="7"/>
  <c r="J22" i="4"/>
  <c r="E22" i="7" s="1"/>
  <c r="O9" i="7"/>
  <c r="P9" i="7"/>
  <c r="N9" i="7"/>
  <c r="Q9" i="7"/>
  <c r="F9" i="7"/>
  <c r="J12" i="4"/>
  <c r="G12" i="7" s="1"/>
  <c r="E15" i="7"/>
  <c r="H15" i="7"/>
  <c r="G5" i="7"/>
  <c r="G6" i="7" s="1"/>
  <c r="L10" i="7"/>
  <c r="E10" i="7"/>
  <c r="G10" i="7"/>
  <c r="H10" i="7"/>
  <c r="M10" i="7"/>
  <c r="E9" i="7"/>
  <c r="G9" i="7"/>
  <c r="L9" i="7"/>
  <c r="M9" i="7"/>
  <c r="H9" i="7"/>
  <c r="G22" i="7"/>
  <c r="H22" i="7"/>
  <c r="M22" i="7"/>
  <c r="M23" i="7"/>
  <c r="G23" i="7"/>
  <c r="E23" i="7"/>
  <c r="H23" i="7"/>
  <c r="L23" i="7"/>
  <c r="L16" i="7"/>
  <c r="M16" i="7"/>
  <c r="H16" i="7"/>
  <c r="E16" i="7"/>
  <c r="G16" i="7"/>
  <c r="L17" i="7"/>
  <c r="E17" i="7"/>
  <c r="G17" i="7"/>
  <c r="M17" i="7"/>
  <c r="H17" i="7"/>
  <c r="E19" i="7"/>
  <c r="M19" i="7"/>
  <c r="L19" i="7"/>
  <c r="M12" i="7"/>
  <c r="H12" i="7"/>
  <c r="G13" i="7"/>
  <c r="E13" i="7"/>
  <c r="M13" i="7"/>
  <c r="L13" i="7"/>
  <c r="M14" i="7"/>
  <c r="H14" i="7"/>
  <c r="E14" i="7"/>
  <c r="G14" i="7"/>
  <c r="L14" i="7"/>
  <c r="G8" i="7"/>
  <c r="M8" i="7"/>
  <c r="J6" i="7"/>
  <c r="K6" i="7"/>
  <c r="I6" i="7"/>
  <c r="W27" i="1"/>
  <c r="W24" i="1"/>
  <c r="T24" i="1"/>
  <c r="S27" i="1"/>
  <c r="V24" i="1"/>
  <c r="S24" i="1"/>
  <c r="O24" i="1"/>
  <c r="Q30" i="1"/>
  <c r="Z24" i="1"/>
  <c r="AH19" i="1"/>
  <c r="AH22" i="1"/>
  <c r="G24" i="1"/>
  <c r="E24" i="1"/>
  <c r="AH21" i="1"/>
  <c r="AK20" i="1"/>
  <c r="AN20" i="1" s="1"/>
  <c r="AP20" i="1" s="1"/>
  <c r="AQ20" i="1" s="1"/>
  <c r="AH13" i="1"/>
  <c r="AK5" i="1"/>
  <c r="AN5" i="1" s="1"/>
  <c r="AK22" i="1"/>
  <c r="AN22" i="1" s="1"/>
  <c r="AP22" i="1" s="1"/>
  <c r="AQ22" i="1" s="1"/>
  <c r="AH10" i="1"/>
  <c r="AK6" i="1"/>
  <c r="AN6" i="1" s="1"/>
  <c r="AP6" i="1" s="1"/>
  <c r="AQ6" i="1" s="1"/>
  <c r="AQ23" i="1" s="1"/>
  <c r="AK14" i="1"/>
  <c r="AN14" i="1" s="1"/>
  <c r="AP14" i="1" s="1"/>
  <c r="AQ14" i="1" s="1"/>
  <c r="AK11" i="1"/>
  <c r="AN11" i="1" s="1"/>
  <c r="AP11" i="1" s="1"/>
  <c r="AQ11" i="1" s="1"/>
  <c r="AK17" i="1"/>
  <c r="AN17" i="1" s="1"/>
  <c r="AP17" i="1" s="1"/>
  <c r="AQ17" i="1" s="1"/>
  <c r="AH9" i="1"/>
  <c r="AH23" i="1" s="1"/>
  <c r="AH24" i="1" s="1"/>
  <c r="AK16" i="1"/>
  <c r="AN16" i="1" s="1"/>
  <c r="AP16" i="1" s="1"/>
  <c r="AQ16" i="1" s="1"/>
  <c r="AH7" i="1"/>
  <c r="AH6" i="1"/>
  <c r="AK12" i="1"/>
  <c r="AN12" i="1" s="1"/>
  <c r="AP12" i="1" s="1"/>
  <c r="AQ12" i="1" s="1"/>
  <c r="AH8" i="1"/>
  <c r="AH12" i="1"/>
  <c r="AK18" i="1"/>
  <c r="AN18" i="1" s="1"/>
  <c r="AP18" i="1" s="1"/>
  <c r="AQ18" i="1" s="1"/>
  <c r="AK9" i="1"/>
  <c r="AN9" i="1" s="1"/>
  <c r="AP9" i="1" s="1"/>
  <c r="AQ9" i="1" s="1"/>
  <c r="AH18" i="1"/>
  <c r="AK13" i="1"/>
  <c r="AN13" i="1" s="1"/>
  <c r="AP13" i="1" s="1"/>
  <c r="AQ13" i="1" s="1"/>
  <c r="AL22" i="1"/>
  <c r="K24" i="1"/>
  <c r="AS4" i="1"/>
  <c r="AS8" i="1" s="1"/>
  <c r="AS5" i="1"/>
  <c r="AS9" i="1" s="1"/>
  <c r="AH5" i="1"/>
  <c r="AF24" i="1"/>
  <c r="AM23" i="1"/>
  <c r="AM24" i="1" s="1"/>
  <c r="T28" i="1"/>
  <c r="T29" i="1" s="1"/>
  <c r="AL19" i="1"/>
  <c r="AL18" i="1"/>
  <c r="AL17" i="1"/>
  <c r="AL16" i="1"/>
  <c r="AL15" i="1"/>
  <c r="AL14" i="1"/>
  <c r="AL13" i="1"/>
  <c r="AL11" i="1"/>
  <c r="AL6" i="1"/>
  <c r="AL5" i="1"/>
  <c r="Q24" i="7" l="1"/>
  <c r="Q25" i="7" s="1"/>
  <c r="P24" i="7"/>
  <c r="P25" i="7" s="1"/>
  <c r="N24" i="7"/>
  <c r="N25" i="7" s="1"/>
  <c r="O24" i="7"/>
  <c r="O25" i="7" s="1"/>
  <c r="H20" i="7"/>
  <c r="L22" i="7"/>
  <c r="H11" i="7"/>
  <c r="H5" i="7"/>
  <c r="H6" i="7" s="1"/>
  <c r="L12" i="7"/>
  <c r="L24" i="7" s="1"/>
  <c r="L25" i="7" s="1"/>
  <c r="E12" i="7"/>
  <c r="H21" i="7"/>
  <c r="E11" i="7"/>
  <c r="M21" i="7"/>
  <c r="L11" i="7"/>
  <c r="E20" i="7"/>
  <c r="L21" i="7"/>
  <c r="G15" i="7"/>
  <c r="L18" i="7"/>
  <c r="E18" i="7"/>
  <c r="H18" i="7"/>
  <c r="G18" i="7"/>
  <c r="M18" i="7"/>
  <c r="M11" i="7"/>
  <c r="M20" i="7"/>
  <c r="L20" i="7"/>
  <c r="G21" i="7"/>
  <c r="E8" i="7"/>
  <c r="L5" i="7"/>
  <c r="L6" i="7" s="1"/>
  <c r="H8" i="7"/>
  <c r="G19" i="7"/>
  <c r="E5" i="7"/>
  <c r="E6" i="7" s="1"/>
  <c r="M15" i="7"/>
  <c r="M7" i="7"/>
  <c r="M24" i="7" s="1"/>
  <c r="M25" i="7" s="1"/>
  <c r="H7" i="7"/>
  <c r="H24" i="7" s="1"/>
  <c r="G7" i="7"/>
  <c r="E7" i="7"/>
  <c r="L7" i="7"/>
  <c r="I10" i="7"/>
  <c r="I22" i="7"/>
  <c r="I13" i="7"/>
  <c r="I7" i="7"/>
  <c r="I11" i="7"/>
  <c r="I23" i="7"/>
  <c r="I12" i="7"/>
  <c r="I21" i="7"/>
  <c r="I14" i="7"/>
  <c r="I17" i="7"/>
  <c r="I15" i="7"/>
  <c r="I16" i="7"/>
  <c r="I18" i="7"/>
  <c r="I9" i="7"/>
  <c r="I19" i="7"/>
  <c r="I8" i="7"/>
  <c r="I20" i="7"/>
  <c r="AK23" i="1"/>
  <c r="AK24" i="1" s="1"/>
  <c r="AL23" i="1"/>
  <c r="AL24" i="1" s="1"/>
  <c r="AP23" i="1"/>
  <c r="AN23" i="1"/>
  <c r="AN24" i="1" s="1"/>
  <c r="G24" i="7" l="1"/>
  <c r="G25" i="7" s="1"/>
  <c r="E24" i="7"/>
  <c r="C26" i="7" s="1"/>
  <c r="C13" i="7" s="1"/>
  <c r="E25" i="7"/>
  <c r="S11" i="7"/>
  <c r="U11" i="7" s="1"/>
  <c r="C5" i="7"/>
  <c r="C12" i="7"/>
  <c r="C23" i="7"/>
  <c r="C14" i="7"/>
  <c r="C11" i="7"/>
  <c r="C10" i="7"/>
  <c r="C9" i="7"/>
  <c r="C20" i="7"/>
  <c r="C21" i="7"/>
  <c r="C19" i="7"/>
  <c r="C22" i="7"/>
  <c r="C16" i="7"/>
  <c r="C15" i="7"/>
  <c r="C8" i="7"/>
  <c r="H25" i="7"/>
  <c r="J10" i="7"/>
  <c r="J16" i="7"/>
  <c r="J22" i="7"/>
  <c r="J13" i="7"/>
  <c r="J9" i="7"/>
  <c r="J15" i="7"/>
  <c r="J21" i="7"/>
  <c r="J12" i="7"/>
  <c r="J7" i="7"/>
  <c r="J8" i="7"/>
  <c r="J14" i="7"/>
  <c r="J11" i="7"/>
  <c r="J17" i="7"/>
  <c r="J23" i="7"/>
  <c r="J18" i="7"/>
  <c r="J19" i="7"/>
  <c r="J20" i="7"/>
  <c r="K8" i="7"/>
  <c r="K14" i="7"/>
  <c r="K20" i="7"/>
  <c r="K9" i="7"/>
  <c r="K15" i="7"/>
  <c r="K21" i="7"/>
  <c r="K18" i="7"/>
  <c r="K12" i="7"/>
  <c r="K10" i="7"/>
  <c r="K16" i="7"/>
  <c r="K22" i="7"/>
  <c r="K17" i="7"/>
  <c r="K23" i="7"/>
  <c r="K11" i="7"/>
  <c r="K7" i="7"/>
  <c r="K13" i="7"/>
  <c r="K19" i="7"/>
  <c r="I24" i="7"/>
  <c r="I25" i="7" s="1"/>
  <c r="AP25" i="1"/>
  <c r="AS21" i="1" s="1"/>
  <c r="AS23" i="1"/>
  <c r="AV10" i="1"/>
  <c r="AZ10" i="1" s="1"/>
  <c r="BD10" i="1" s="1"/>
  <c r="AU7" i="1"/>
  <c r="AY7" i="1" s="1"/>
  <c r="BC7" i="1" s="1"/>
  <c r="AV7" i="1"/>
  <c r="AZ7" i="1" s="1"/>
  <c r="BD7" i="1" s="1"/>
  <c r="AW7" i="1"/>
  <c r="BA7" i="1" s="1"/>
  <c r="BE7" i="1" s="1"/>
  <c r="AU8" i="1"/>
  <c r="AY8" i="1" s="1"/>
  <c r="BC8" i="1" s="1"/>
  <c r="AV8" i="1"/>
  <c r="AZ8" i="1" s="1"/>
  <c r="BD8" i="1" s="1"/>
  <c r="AW8" i="1"/>
  <c r="BA8" i="1" s="1"/>
  <c r="BE8" i="1" s="1"/>
  <c r="AU9" i="1"/>
  <c r="AY9" i="1" s="1"/>
  <c r="BC9" i="1" s="1"/>
  <c r="AV9" i="1"/>
  <c r="AZ9" i="1" s="1"/>
  <c r="BD9" i="1" s="1"/>
  <c r="AW9" i="1"/>
  <c r="BA9" i="1" s="1"/>
  <c r="BE9" i="1" s="1"/>
  <c r="AU10" i="1"/>
  <c r="AY10" i="1" s="1"/>
  <c r="BC10" i="1" s="1"/>
  <c r="AW10" i="1"/>
  <c r="BA10" i="1" s="1"/>
  <c r="BE10" i="1" s="1"/>
  <c r="AU11" i="1"/>
  <c r="AY11" i="1" s="1"/>
  <c r="BC11" i="1" s="1"/>
  <c r="AV11" i="1"/>
  <c r="AZ11" i="1" s="1"/>
  <c r="BD11" i="1" s="1"/>
  <c r="AW11" i="1"/>
  <c r="BA11" i="1" s="1"/>
  <c r="BE11" i="1" s="1"/>
  <c r="AU12" i="1"/>
  <c r="AY12" i="1" s="1"/>
  <c r="BC12" i="1" s="1"/>
  <c r="AV12" i="1"/>
  <c r="AZ12" i="1" s="1"/>
  <c r="BD12" i="1" s="1"/>
  <c r="AW12" i="1"/>
  <c r="BA12" i="1" s="1"/>
  <c r="BE12" i="1" s="1"/>
  <c r="AU13" i="1"/>
  <c r="AY13" i="1" s="1"/>
  <c r="BC13" i="1" s="1"/>
  <c r="AV13" i="1"/>
  <c r="AZ13" i="1" s="1"/>
  <c r="BD13" i="1" s="1"/>
  <c r="AW13" i="1"/>
  <c r="BA13" i="1" s="1"/>
  <c r="BE13" i="1" s="1"/>
  <c r="AU14" i="1"/>
  <c r="AY14" i="1" s="1"/>
  <c r="BC14" i="1" s="1"/>
  <c r="AV14" i="1"/>
  <c r="AZ14" i="1" s="1"/>
  <c r="BD14" i="1" s="1"/>
  <c r="AW14" i="1"/>
  <c r="BA14" i="1" s="1"/>
  <c r="BE14" i="1" s="1"/>
  <c r="AU15" i="1"/>
  <c r="AY15" i="1" s="1"/>
  <c r="BC15" i="1" s="1"/>
  <c r="AV15" i="1"/>
  <c r="AZ15" i="1" s="1"/>
  <c r="BD15" i="1" s="1"/>
  <c r="AW15" i="1"/>
  <c r="BA15" i="1" s="1"/>
  <c r="BE15" i="1" s="1"/>
  <c r="AU16" i="1"/>
  <c r="AY16" i="1" s="1"/>
  <c r="BC16" i="1" s="1"/>
  <c r="AV16" i="1"/>
  <c r="AZ16" i="1" s="1"/>
  <c r="BD16" i="1" s="1"/>
  <c r="AW16" i="1"/>
  <c r="BA16" i="1" s="1"/>
  <c r="BE16" i="1" s="1"/>
  <c r="AU17" i="1"/>
  <c r="AY17" i="1" s="1"/>
  <c r="BC17" i="1" s="1"/>
  <c r="AV17" i="1"/>
  <c r="AZ17" i="1" s="1"/>
  <c r="BD17" i="1" s="1"/>
  <c r="AW17" i="1"/>
  <c r="BA17" i="1" s="1"/>
  <c r="BE17" i="1" s="1"/>
  <c r="AU18" i="1"/>
  <c r="AY18" i="1" s="1"/>
  <c r="BC18" i="1" s="1"/>
  <c r="AV18" i="1"/>
  <c r="AZ18" i="1" s="1"/>
  <c r="BD18" i="1" s="1"/>
  <c r="AW18" i="1"/>
  <c r="BA18" i="1" s="1"/>
  <c r="BE18" i="1" s="1"/>
  <c r="AU19" i="1"/>
  <c r="AY19" i="1" s="1"/>
  <c r="BC19" i="1" s="1"/>
  <c r="AV19" i="1"/>
  <c r="AZ19" i="1" s="1"/>
  <c r="BD19" i="1" s="1"/>
  <c r="AW19" i="1"/>
  <c r="BA19" i="1" s="1"/>
  <c r="BE19" i="1" s="1"/>
  <c r="AU20" i="1"/>
  <c r="AY20" i="1" s="1"/>
  <c r="BC20" i="1" s="1"/>
  <c r="AV20" i="1"/>
  <c r="AZ20" i="1" s="1"/>
  <c r="BD20" i="1" s="1"/>
  <c r="AW20" i="1"/>
  <c r="BA20" i="1" s="1"/>
  <c r="BE20" i="1" s="1"/>
  <c r="AU21" i="1"/>
  <c r="AY21" i="1" s="1"/>
  <c r="BC21" i="1" s="1"/>
  <c r="AV21" i="1"/>
  <c r="AZ21" i="1" s="1"/>
  <c r="BD21" i="1" s="1"/>
  <c r="AW21" i="1"/>
  <c r="BA21" i="1" s="1"/>
  <c r="BE21" i="1" s="1"/>
  <c r="AU22" i="1"/>
  <c r="AY22" i="1" s="1"/>
  <c r="BC22" i="1" s="1"/>
  <c r="AV22" i="1"/>
  <c r="AZ22" i="1" s="1"/>
  <c r="BD22" i="1" s="1"/>
  <c r="AW22" i="1"/>
  <c r="BA22" i="1" s="1"/>
  <c r="BE22" i="1" s="1"/>
  <c r="AW6" i="1"/>
  <c r="BA6" i="1" s="1"/>
  <c r="AV6" i="1"/>
  <c r="AZ6" i="1" s="1"/>
  <c r="AU6" i="1"/>
  <c r="AY6" i="1" s="1"/>
  <c r="AU4" i="1"/>
  <c r="AW4" i="1"/>
  <c r="AV4" i="1"/>
  <c r="C7" i="7" l="1"/>
  <c r="C18" i="7"/>
  <c r="C17" i="7"/>
  <c r="J24" i="7"/>
  <c r="J25" i="7" s="1"/>
  <c r="K24" i="7"/>
  <c r="K25" i="7" s="1"/>
  <c r="AY4" i="1"/>
  <c r="BC4" i="1" s="1"/>
  <c r="BC6" i="1"/>
  <c r="BC23" i="1" s="1"/>
  <c r="AY23" i="1"/>
  <c r="AZ4" i="1"/>
  <c r="BD4" i="1" s="1"/>
  <c r="BD6" i="1"/>
  <c r="BD23" i="1" s="1"/>
  <c r="AZ23" i="1"/>
  <c r="BA4" i="1"/>
  <c r="BE4" i="1" s="1"/>
  <c r="BE6" i="1"/>
  <c r="BE23" i="1" s="1"/>
  <c r="BA23" i="1"/>
  <c r="AW23" i="1"/>
  <c r="AV23" i="1"/>
  <c r="AU23" i="1"/>
  <c r="C24" i="7" l="1"/>
  <c r="BE24" i="1"/>
  <c r="BE25" i="1" s="1"/>
  <c r="BI17" i="1"/>
  <c r="BD24" i="1"/>
  <c r="BD25" i="1" s="1"/>
  <c r="BH17" i="1"/>
  <c r="BC24" i="1"/>
  <c r="BC25" i="1" s="1"/>
  <c r="BG17" i="1"/>
  <c r="BG5" i="1"/>
  <c r="BG11" i="1" s="1"/>
  <c r="BG4" i="1"/>
  <c r="BG10" i="1" s="1"/>
  <c r="BH4" i="1"/>
  <c r="BH10" i="1" s="1"/>
  <c r="BH5" i="1"/>
  <c r="BH11" i="1" s="1"/>
  <c r="BI5" i="1"/>
  <c r="BI11" i="1" s="1"/>
  <c r="BI4" i="1"/>
  <c r="BI10" i="1" s="1"/>
  <c r="BC27" i="1" l="1"/>
  <c r="BC28" i="1" s="1"/>
  <c r="C6" i="7"/>
  <c r="W11" i="7" l="1"/>
  <c r="D6" i="7"/>
  <c r="D25" i="7" s="1"/>
  <c r="C25" i="7"/>
</calcChain>
</file>

<file path=xl/sharedStrings.xml><?xml version="1.0" encoding="utf-8"?>
<sst xmlns="http://schemas.openxmlformats.org/spreadsheetml/2006/main" count="374" uniqueCount="109">
  <si>
    <t>Nr. crt</t>
  </si>
  <si>
    <t>ORAS/COMUNA</t>
  </si>
  <si>
    <t>Platforme mici rez 2,25 mp</t>
  </si>
  <si>
    <t>Platforme rez si recicl 9 mp</t>
  </si>
  <si>
    <t>Platforme reciclabile Phare</t>
  </si>
  <si>
    <t>Rezidual 1,1 mc</t>
  </si>
  <si>
    <t>Sticla</t>
  </si>
  <si>
    <t>Hartie carton</t>
  </si>
  <si>
    <t>Plastic Metal</t>
  </si>
  <si>
    <t xml:space="preserve">Populatie </t>
  </si>
  <si>
    <t>Cantitate generata kg/zi/pers</t>
  </si>
  <si>
    <t>Total tone/saptamana</t>
  </si>
  <si>
    <t>din care colectate selectiv rec</t>
  </si>
  <si>
    <t>amestec populatie</t>
  </si>
  <si>
    <t>Total tone/an</t>
  </si>
  <si>
    <t>Total urban</t>
  </si>
  <si>
    <t>Total rural</t>
  </si>
  <si>
    <t>Total Zona 3 Tg Neamt</t>
  </si>
  <si>
    <t>Tg Neamt</t>
  </si>
  <si>
    <t>Pipirig</t>
  </si>
  <si>
    <t>Baltatesti</t>
  </si>
  <si>
    <t>Agapia</t>
  </si>
  <si>
    <t>Vinatori Neamt</t>
  </si>
  <si>
    <t>Ghindaoani</t>
  </si>
  <si>
    <t>Grumazesti</t>
  </si>
  <si>
    <t>Draganesti</t>
  </si>
  <si>
    <t>Brusturi</t>
  </si>
  <si>
    <t>Raucesti</t>
  </si>
  <si>
    <t>Timisesti</t>
  </si>
  <si>
    <t>Urecheni</t>
  </si>
  <si>
    <t>Pastraveni</t>
  </si>
  <si>
    <t>Tibucani</t>
  </si>
  <si>
    <t>Razboieni</t>
  </si>
  <si>
    <t>Tupilati</t>
  </si>
  <si>
    <t>Petricani</t>
  </si>
  <si>
    <t>Cracaoani</t>
  </si>
  <si>
    <t>Platforme  reciclabile 6,75 mp</t>
  </si>
  <si>
    <t>P&amp;M</t>
  </si>
  <si>
    <t>H&amp;C</t>
  </si>
  <si>
    <t>sticla</t>
  </si>
  <si>
    <t>IIC</t>
  </si>
  <si>
    <t xml:space="preserve">amestec </t>
  </si>
  <si>
    <t>pop</t>
  </si>
  <si>
    <t>Amestec Total</t>
  </si>
  <si>
    <t>TOTAL</t>
  </si>
  <si>
    <t>timp descarcare</t>
  </si>
  <si>
    <t>pubele biodegradabile 120 l</t>
  </si>
  <si>
    <t>1,1 mc Phare</t>
  </si>
  <si>
    <t>120 l Phare</t>
  </si>
  <si>
    <t>pubele 240 l Phare</t>
  </si>
  <si>
    <t>Urban</t>
  </si>
  <si>
    <t>bloc</t>
  </si>
  <si>
    <t>case</t>
  </si>
  <si>
    <t>URBAN</t>
  </si>
  <si>
    <t>Nr curse</t>
  </si>
  <si>
    <t>valoare lei</t>
  </si>
  <si>
    <t>Valoare lei</t>
  </si>
  <si>
    <t>metal</t>
  </si>
  <si>
    <t>plastic</t>
  </si>
  <si>
    <t>COMUNA</t>
  </si>
  <si>
    <t>Zona</t>
  </si>
  <si>
    <t>TIP</t>
  </si>
  <si>
    <t>UAT</t>
  </si>
  <si>
    <t>Număr locuitori</t>
  </si>
  <si>
    <t>Zona 3</t>
  </si>
  <si>
    <t>Tirgu Neamt</t>
  </si>
  <si>
    <t>Rural</t>
  </si>
  <si>
    <t>Platforme mici reziduale 2,25 mp</t>
  </si>
  <si>
    <t>Platforme reziduale si reciclabile 9 mp</t>
  </si>
  <si>
    <t>ORAS/ COMUNA</t>
  </si>
  <si>
    <t>Rezidual</t>
  </si>
  <si>
    <t>Textile</t>
  </si>
  <si>
    <t>DCD</t>
  </si>
  <si>
    <t>Total zona 3</t>
  </si>
  <si>
    <t>Periculoase</t>
  </si>
  <si>
    <t>HC</t>
  </si>
  <si>
    <t>PM</t>
  </si>
  <si>
    <t>biodeseuri</t>
  </si>
  <si>
    <t>Abandonate</t>
  </si>
  <si>
    <t>Evenimente</t>
  </si>
  <si>
    <t>Bio</t>
  </si>
  <si>
    <t>VOL</t>
  </si>
  <si>
    <t>periculoase</t>
  </si>
  <si>
    <t>Zona de blocuri</t>
  </si>
  <si>
    <t>Zona de case</t>
  </si>
  <si>
    <t>aprilie - octombrie</t>
  </si>
  <si>
    <t>noiembrie - martie</t>
  </si>
  <si>
    <t>Frecventa de colectare - deseuri reciclabile menajere</t>
  </si>
  <si>
    <t>Frecventa de colectare - deseuri reciclabile similare</t>
  </si>
  <si>
    <t>Ori de câte ori este necesar, în funcţie de cantitatea de deşeuri generată.</t>
  </si>
  <si>
    <t>Frecventa de colectare - deseuri reziduale, biodegradabile menajere</t>
  </si>
  <si>
    <t>Frecventa de colectare - deseuri reziduale si biodegradabile similare</t>
  </si>
  <si>
    <t>1 octombrie - 31 martie</t>
  </si>
  <si>
    <t>1 aprilie - 30 septembrie</t>
  </si>
  <si>
    <r>
      <rPr>
        <b/>
        <sz val="12"/>
        <rFont val="Times New Roman"/>
        <family val="1"/>
      </rPr>
      <t>hartie şi carton, plastic şi metal</t>
    </r>
    <r>
      <rPr>
        <sz val="12"/>
        <rFont val="Times New Roman"/>
        <family val="1"/>
        <charset val="238"/>
      </rPr>
      <t xml:space="preserve"> – de 1 dată pe săptămână
</t>
    </r>
    <r>
      <rPr>
        <b/>
        <sz val="12"/>
        <rFont val="Times New Roman"/>
        <family val="1"/>
      </rPr>
      <t>sticla</t>
    </r>
    <r>
      <rPr>
        <sz val="12"/>
        <rFont val="Times New Roman"/>
        <family val="1"/>
        <charset val="238"/>
      </rPr>
      <t xml:space="preserve"> – 1 dată la două săptămâni
</t>
    </r>
  </si>
  <si>
    <r>
      <rPr>
        <b/>
        <sz val="12"/>
        <rFont val="Times New Roman"/>
        <family val="1"/>
      </rPr>
      <t>hartie şi carton, plastic şi meta</t>
    </r>
    <r>
      <rPr>
        <sz val="12"/>
        <rFont val="Times New Roman"/>
        <family val="1"/>
        <charset val="238"/>
      </rPr>
      <t xml:space="preserve">l – de 1 la 2 săptămâni
</t>
    </r>
    <r>
      <rPr>
        <b/>
        <sz val="12"/>
        <rFont val="Times New Roman"/>
        <family val="1"/>
      </rPr>
      <t>sticla</t>
    </r>
    <r>
      <rPr>
        <sz val="12"/>
        <rFont val="Times New Roman"/>
        <family val="1"/>
        <charset val="238"/>
      </rPr>
      <t xml:space="preserve"> – 1 dată pe trimestru
</t>
    </r>
  </si>
  <si>
    <r>
      <rPr>
        <b/>
        <sz val="12"/>
        <rFont val="Times New Roman"/>
        <family val="1"/>
      </rPr>
      <t>hartie şi carton, plastic şi metal</t>
    </r>
    <r>
      <rPr>
        <sz val="12"/>
        <rFont val="Times New Roman"/>
        <family val="1"/>
        <charset val="238"/>
      </rPr>
      <t xml:space="preserve"> – de 1 dată la 2 saptamani
</t>
    </r>
    <r>
      <rPr>
        <b/>
        <sz val="12"/>
        <rFont val="Times New Roman"/>
        <family val="1"/>
      </rPr>
      <t>sticla</t>
    </r>
    <r>
      <rPr>
        <sz val="12"/>
        <rFont val="Times New Roman"/>
        <family val="1"/>
        <charset val="238"/>
      </rPr>
      <t xml:space="preserve"> – 1 dată pe trimestru
</t>
    </r>
  </si>
  <si>
    <r>
      <rPr>
        <b/>
        <sz val="12"/>
        <rFont val="Times New Roman"/>
        <family val="1"/>
      </rPr>
      <t>deseuri reziduale</t>
    </r>
    <r>
      <rPr>
        <sz val="12"/>
        <rFont val="Times New Roman"/>
        <family val="1"/>
        <charset val="238"/>
      </rPr>
      <t xml:space="preserve"> – zilnic de la sectorul alimentar, hoteluri, piete, spitale, gradinite, crese si 1 dată la doua zile in celelalte cazuri</t>
    </r>
  </si>
  <si>
    <r>
      <rPr>
        <b/>
        <sz val="12"/>
        <rFont val="Times New Roman"/>
        <family val="1"/>
      </rPr>
      <t>deseuri reziduale</t>
    </r>
    <r>
      <rPr>
        <sz val="12"/>
        <rFont val="Times New Roman"/>
        <family val="1"/>
        <charset val="238"/>
      </rPr>
      <t xml:space="preserve"> – 6 ori/ săptămână zona de blocuri și 1 dată pe săptămână zona de case
</t>
    </r>
    <r>
      <rPr>
        <b/>
        <sz val="12"/>
        <rFont val="Times New Roman"/>
        <family val="1"/>
      </rPr>
      <t>deșeuri  biodegradabile</t>
    </r>
    <r>
      <rPr>
        <sz val="12"/>
        <rFont val="Times New Roman"/>
        <family val="1"/>
        <charset val="238"/>
      </rPr>
      <t xml:space="preserve"> – 6 ori/ saptamana zona de blocuri si o dată pe săptămănâ in zona de case
</t>
    </r>
    <r>
      <rPr>
        <b/>
        <sz val="12"/>
        <rFont val="Times New Roman"/>
        <family val="1"/>
      </rPr>
      <t>deseuri textile</t>
    </r>
    <r>
      <rPr>
        <sz val="12"/>
        <rFont val="Times New Roman"/>
        <family val="1"/>
        <charset val="238"/>
      </rPr>
      <t xml:space="preserve"> – 1 dată pe semestru</t>
    </r>
  </si>
  <si>
    <r>
      <rPr>
        <b/>
        <sz val="12"/>
        <rFont val="Times New Roman"/>
        <family val="1"/>
      </rPr>
      <t>deseuri reziduale</t>
    </r>
    <r>
      <rPr>
        <sz val="12"/>
        <rFont val="Times New Roman"/>
        <family val="1"/>
        <charset val="238"/>
      </rPr>
      <t xml:space="preserve"> – 3 ori/ săptămână sau </t>
    </r>
    <r>
      <rPr>
        <sz val="12"/>
        <rFont val="Times New Roman"/>
        <family val="1"/>
      </rPr>
      <t>ori de câte ori este necesar, în funcţie de cantitatea de deşeuri generată.</t>
    </r>
  </si>
  <si>
    <t>IIC rez</t>
  </si>
  <si>
    <t>urban</t>
  </si>
  <si>
    <t>POP</t>
  </si>
  <si>
    <t>rural</t>
  </si>
  <si>
    <t>Număr de persoane juridice</t>
  </si>
  <si>
    <t>Număr de gospodarii individuale (case)</t>
  </si>
  <si>
    <t>Număr de apartamente</t>
  </si>
  <si>
    <r>
      <rPr>
        <b/>
        <sz val="12"/>
        <rFont val="Times New Roman"/>
        <family val="1"/>
      </rPr>
      <t>deseuri reziduale</t>
    </r>
    <r>
      <rPr>
        <sz val="12"/>
        <rFont val="Times New Roman"/>
        <family val="1"/>
        <charset val="238"/>
      </rPr>
      <t xml:space="preserve"> – 6 ori/ săptămână zona de blocuri și 1 dată pe săptămână zona de case
</t>
    </r>
    <r>
      <rPr>
        <b/>
        <sz val="12"/>
        <rFont val="Times New Roman"/>
        <family val="1"/>
      </rPr>
      <t>deșeuri  biodegradabile</t>
    </r>
    <r>
      <rPr>
        <sz val="12"/>
        <rFont val="Times New Roman"/>
        <family val="1"/>
        <charset val="238"/>
      </rPr>
      <t xml:space="preserve"> – o dată pe săptămănâ
</t>
    </r>
    <r>
      <rPr>
        <b/>
        <sz val="12"/>
        <rFont val="Times New Roman"/>
        <family val="1"/>
      </rPr>
      <t>deseuri textile</t>
    </r>
    <r>
      <rPr>
        <sz val="12"/>
        <rFont val="Times New Roman"/>
        <family val="1"/>
        <charset val="238"/>
      </rPr>
      <t xml:space="preserve"> – 1 dată pe semestru</t>
    </r>
  </si>
  <si>
    <r>
      <rPr>
        <b/>
        <sz val="12"/>
        <rFont val="Times New Roman"/>
        <family val="1"/>
      </rPr>
      <t>deseuri reziduale</t>
    </r>
    <r>
      <rPr>
        <sz val="12"/>
        <rFont val="Times New Roman"/>
        <family val="1"/>
      </rPr>
      <t xml:space="preserve"> – 1 dată pe săptămână in zona de case </t>
    </r>
    <r>
      <rPr>
        <b/>
        <sz val="12"/>
        <rFont val="Times New Roman"/>
        <family val="1"/>
      </rPr>
      <t>deseuri textile</t>
    </r>
    <r>
      <rPr>
        <sz val="12"/>
        <rFont val="Times New Roman"/>
        <family val="1"/>
      </rPr>
      <t xml:space="preserve"> – 1 dată pe semestru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</si>
</sst>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1"/>
      <color theme="1"/>
      <name val="Arial"/>
      <family val="2"/>
    </font>
    <font>
      <sz val="12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2"/>
      <color rgb="FF0070C0"/>
      <name val="Times New Roman"/>
      <family val="1"/>
    </font>
    <font>
      <sz val="12"/>
      <color rgb="FF0070C0"/>
      <name val="Times New Roman"/>
      <family val="1"/>
      <charset val="238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0" fillId="0" borderId="1" xfId="0" applyBorder="1"/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left" vertical="center" wrapText="1" inden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2" fontId="2" fillId="0" borderId="34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2" fontId="3" fillId="0" borderId="37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35" xfId="0" applyBorder="1"/>
    <xf numFmtId="0" fontId="1" fillId="0" borderId="33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2" fontId="5" fillId="0" borderId="14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2" fontId="0" fillId="0" borderId="1" xfId="0" applyNumberFormat="1" applyBorder="1"/>
    <xf numFmtId="2" fontId="0" fillId="0" borderId="0" xfId="0" applyNumberFormat="1"/>
    <xf numFmtId="2" fontId="3" fillId="0" borderId="41" xfId="0" applyNumberFormat="1" applyFont="1" applyBorder="1" applyAlignment="1">
      <alignment horizontal="center" vertical="center"/>
    </xf>
    <xf numFmtId="2" fontId="3" fillId="0" borderId="42" xfId="0" applyNumberFormat="1" applyFont="1" applyBorder="1" applyAlignment="1">
      <alignment horizontal="center" vertical="center"/>
    </xf>
    <xf numFmtId="2" fontId="3" fillId="0" borderId="43" xfId="0" applyNumberFormat="1" applyFont="1" applyBorder="1" applyAlignment="1">
      <alignment horizontal="center" vertical="center"/>
    </xf>
    <xf numFmtId="2" fontId="3" fillId="0" borderId="44" xfId="0" applyNumberFormat="1" applyFont="1" applyBorder="1" applyAlignment="1">
      <alignment horizontal="center" vertical="center"/>
    </xf>
    <xf numFmtId="2" fontId="3" fillId="0" borderId="45" xfId="0" applyNumberFormat="1" applyFont="1" applyBorder="1" applyAlignment="1">
      <alignment horizontal="center" vertical="center"/>
    </xf>
    <xf numFmtId="2" fontId="0" fillId="0" borderId="40" xfId="0" applyNumberFormat="1" applyBorder="1"/>
    <xf numFmtId="2" fontId="0" fillId="0" borderId="46" xfId="0" applyNumberFormat="1" applyBorder="1"/>
    <xf numFmtId="2" fontId="0" fillId="0" borderId="26" xfId="0" applyNumberFormat="1" applyBorder="1"/>
    <xf numFmtId="2" fontId="0" fillId="0" borderId="32" xfId="0" applyNumberFormat="1" applyBorder="1"/>
    <xf numFmtId="2" fontId="0" fillId="0" borderId="49" xfId="0" applyNumberFormat="1" applyBorder="1"/>
    <xf numFmtId="2" fontId="0" fillId="0" borderId="16" xfId="0" applyNumberFormat="1" applyBorder="1"/>
    <xf numFmtId="2" fontId="0" fillId="0" borderId="15" xfId="0" applyNumberFormat="1" applyBorder="1"/>
    <xf numFmtId="2" fontId="0" fillId="0" borderId="31" xfId="0" applyNumberFormat="1" applyBorder="1"/>
    <xf numFmtId="0" fontId="1" fillId="0" borderId="6" xfId="0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0" fontId="1" fillId="0" borderId="14" xfId="0" applyFont="1" applyBorder="1"/>
    <xf numFmtId="2" fontId="1" fillId="0" borderId="15" xfId="0" applyNumberFormat="1" applyFont="1" applyBorder="1"/>
    <xf numFmtId="2" fontId="1" fillId="0" borderId="16" xfId="0" applyNumberFormat="1" applyFont="1" applyBorder="1"/>
    <xf numFmtId="2" fontId="1" fillId="0" borderId="47" xfId="0" applyNumberFormat="1" applyFont="1" applyBorder="1"/>
    <xf numFmtId="2" fontId="1" fillId="0" borderId="48" xfId="0" applyNumberFormat="1" applyFont="1" applyBorder="1"/>
    <xf numFmtId="2" fontId="1" fillId="0" borderId="31" xfId="0" applyNumberFormat="1" applyFont="1" applyBorder="1"/>
    <xf numFmtId="2" fontId="1" fillId="0" borderId="32" xfId="0" applyNumberFormat="1" applyFont="1" applyBorder="1"/>
    <xf numFmtId="2" fontId="1" fillId="0" borderId="19" xfId="0" applyNumberFormat="1" applyFont="1" applyBorder="1"/>
    <xf numFmtId="2" fontId="1" fillId="0" borderId="28" xfId="0" applyNumberFormat="1" applyFont="1" applyBorder="1"/>
    <xf numFmtId="2" fontId="1" fillId="0" borderId="50" xfId="0" applyNumberFormat="1" applyFont="1" applyBorder="1"/>
    <xf numFmtId="2" fontId="2" fillId="0" borderId="51" xfId="0" applyNumberFormat="1" applyFont="1" applyFill="1" applyBorder="1" applyAlignment="1">
      <alignment horizontal="center" vertical="center" wrapText="1"/>
    </xf>
    <xf numFmtId="2" fontId="1" fillId="0" borderId="37" xfId="0" applyNumberFormat="1" applyFont="1" applyBorder="1"/>
    <xf numFmtId="2" fontId="1" fillId="0" borderId="38" xfId="0" applyNumberFormat="1" applyFont="1" applyBorder="1"/>
    <xf numFmtId="2" fontId="2" fillId="0" borderId="41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0" fillId="0" borderId="25" xfId="0" applyNumberFormat="1" applyBorder="1"/>
    <xf numFmtId="2" fontId="0" fillId="0" borderId="37" xfId="0" applyNumberFormat="1" applyBorder="1"/>
    <xf numFmtId="2" fontId="0" fillId="0" borderId="52" xfId="0" applyNumberFormat="1" applyBorder="1"/>
    <xf numFmtId="2" fontId="0" fillId="0" borderId="38" xfId="0" applyNumberFormat="1" applyBorder="1"/>
    <xf numFmtId="2" fontId="0" fillId="0" borderId="18" xfId="0" applyNumberFormat="1" applyBorder="1"/>
    <xf numFmtId="2" fontId="0" fillId="0" borderId="27" xfId="0" applyNumberFormat="1" applyBorder="1"/>
    <xf numFmtId="2" fontId="0" fillId="0" borderId="33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0" fillId="0" borderId="53" xfId="0" applyNumberFormat="1" applyBorder="1"/>
    <xf numFmtId="2" fontId="0" fillId="0" borderId="54" xfId="0" applyNumberFormat="1" applyBorder="1"/>
    <xf numFmtId="2" fontId="0" fillId="0" borderId="55" xfId="0" applyNumberFormat="1" applyBorder="1"/>
    <xf numFmtId="0" fontId="0" fillId="0" borderId="18" xfId="0" applyBorder="1"/>
    <xf numFmtId="0" fontId="1" fillId="0" borderId="15" xfId="0" applyFont="1" applyBorder="1"/>
    <xf numFmtId="0" fontId="1" fillId="0" borderId="49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16" xfId="0" applyFont="1" applyBorder="1"/>
    <xf numFmtId="0" fontId="0" fillId="0" borderId="58" xfId="0" applyBorder="1"/>
    <xf numFmtId="2" fontId="2" fillId="0" borderId="13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0" fillId="0" borderId="23" xfId="0" applyBorder="1"/>
    <xf numFmtId="0" fontId="0" fillId="0" borderId="50" xfId="0" applyBorder="1"/>
    <xf numFmtId="0" fontId="0" fillId="0" borderId="22" xfId="0" applyBorder="1"/>
    <xf numFmtId="0" fontId="0" fillId="0" borderId="61" xfId="0" applyBorder="1"/>
    <xf numFmtId="2" fontId="0" fillId="0" borderId="22" xfId="0" applyNumberFormat="1" applyBorder="1"/>
    <xf numFmtId="2" fontId="0" fillId="0" borderId="61" xfId="0" applyNumberFormat="1" applyBorder="1"/>
    <xf numFmtId="0" fontId="0" fillId="0" borderId="9" xfId="0" applyBorder="1"/>
    <xf numFmtId="2" fontId="0" fillId="0" borderId="12" xfId="0" applyNumberFormat="1" applyBorder="1"/>
    <xf numFmtId="0" fontId="0" fillId="0" borderId="13" xfId="0" applyBorder="1"/>
    <xf numFmtId="2" fontId="0" fillId="0" borderId="13" xfId="0" applyNumberFormat="1" applyBorder="1"/>
    <xf numFmtId="2" fontId="2" fillId="0" borderId="0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/>
    </xf>
    <xf numFmtId="2" fontId="3" fillId="2" borderId="27" xfId="0" applyNumberFormat="1" applyFont="1" applyFill="1" applyBorder="1" applyAlignment="1">
      <alignment horizontal="center" vertical="center"/>
    </xf>
    <xf numFmtId="2" fontId="3" fillId="2" borderId="30" xfId="0" applyNumberFormat="1" applyFont="1" applyFill="1" applyBorder="1" applyAlignment="1">
      <alignment horizontal="center" vertical="center"/>
    </xf>
    <xf numFmtId="2" fontId="3" fillId="2" borderId="31" xfId="0" applyNumberFormat="1" applyFont="1" applyFill="1" applyBorder="1" applyAlignment="1">
      <alignment horizontal="center" vertical="center"/>
    </xf>
    <xf numFmtId="2" fontId="3" fillId="2" borderId="44" xfId="0" applyNumberFormat="1" applyFont="1" applyFill="1" applyBorder="1" applyAlignment="1">
      <alignment horizontal="center" vertical="center"/>
    </xf>
    <xf numFmtId="2" fontId="1" fillId="2" borderId="28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0" fontId="0" fillId="2" borderId="0" xfId="0" applyFill="1"/>
    <xf numFmtId="2" fontId="0" fillId="2" borderId="27" xfId="0" applyNumberFormat="1" applyFill="1" applyBorder="1"/>
    <xf numFmtId="2" fontId="0" fillId="2" borderId="31" xfId="0" applyNumberFormat="1" applyFill="1" applyBorder="1"/>
    <xf numFmtId="2" fontId="0" fillId="2" borderId="40" xfId="0" applyNumberFormat="1" applyFill="1" applyBorder="1"/>
    <xf numFmtId="2" fontId="0" fillId="2" borderId="32" xfId="0" applyNumberFormat="1" applyFill="1" applyBorder="1"/>
    <xf numFmtId="0" fontId="1" fillId="0" borderId="35" xfId="0" applyFont="1" applyBorder="1"/>
    <xf numFmtId="164" fontId="0" fillId="0" borderId="0" xfId="0" applyNumberFormat="1"/>
    <xf numFmtId="2" fontId="5" fillId="0" borderId="23" xfId="0" applyNumberFormat="1" applyFont="1" applyFill="1" applyBorder="1" applyAlignment="1">
      <alignment vertical="center"/>
    </xf>
    <xf numFmtId="2" fontId="5" fillId="0" borderId="18" xfId="0" applyNumberFormat="1" applyFont="1" applyFill="1" applyBorder="1" applyAlignment="1">
      <alignment vertical="center"/>
    </xf>
    <xf numFmtId="2" fontId="5" fillId="0" borderId="24" xfId="0" applyNumberFormat="1" applyFont="1" applyFill="1" applyBorder="1" applyAlignment="1">
      <alignment vertical="center"/>
    </xf>
    <xf numFmtId="2" fontId="5" fillId="0" borderId="6" xfId="0" applyNumberFormat="1" applyFont="1" applyFill="1" applyBorder="1" applyAlignment="1">
      <alignment vertical="center"/>
    </xf>
    <xf numFmtId="2" fontId="5" fillId="0" borderId="10" xfId="0" applyNumberFormat="1" applyFont="1" applyFill="1" applyBorder="1" applyAlignment="1">
      <alignment vertical="center"/>
    </xf>
    <xf numFmtId="2" fontId="5" fillId="0" borderId="17" xfId="0" applyNumberFormat="1" applyFont="1" applyFill="1" applyBorder="1" applyAlignment="1">
      <alignment vertical="center"/>
    </xf>
    <xf numFmtId="2" fontId="0" fillId="0" borderId="14" xfId="0" applyNumberFormat="1" applyFill="1" applyBorder="1"/>
    <xf numFmtId="2" fontId="0" fillId="0" borderId="1" xfId="0" applyNumberFormat="1" applyFill="1" applyBorder="1"/>
    <xf numFmtId="2" fontId="3" fillId="0" borderId="23" xfId="0" applyNumberFormat="1" applyFont="1" applyFill="1" applyBorder="1" applyAlignment="1">
      <alignment vertical="center"/>
    </xf>
    <xf numFmtId="2" fontId="3" fillId="0" borderId="18" xfId="0" applyNumberFormat="1" applyFont="1" applyFill="1" applyBorder="1" applyAlignment="1">
      <alignment vertical="center"/>
    </xf>
    <xf numFmtId="2" fontId="3" fillId="0" borderId="62" xfId="0" applyNumberFormat="1" applyFont="1" applyFill="1" applyBorder="1"/>
    <xf numFmtId="2" fontId="3" fillId="0" borderId="27" xfId="0" applyNumberFormat="1" applyFont="1" applyFill="1" applyBorder="1" applyAlignment="1">
      <alignment vertical="center"/>
    </xf>
    <xf numFmtId="2" fontId="3" fillId="0" borderId="33" xfId="0" applyNumberFormat="1" applyFont="1" applyFill="1" applyBorder="1" applyAlignment="1">
      <alignment vertical="center"/>
    </xf>
    <xf numFmtId="2" fontId="3" fillId="0" borderId="28" xfId="0" applyNumberFormat="1" applyFont="1" applyFill="1" applyBorder="1" applyAlignment="1">
      <alignment vertical="center"/>
    </xf>
    <xf numFmtId="2" fontId="3" fillId="0" borderId="50" xfId="0" applyNumberFormat="1" applyFont="1" applyFill="1" applyBorder="1" applyAlignment="1">
      <alignment vertical="center"/>
    </xf>
    <xf numFmtId="2" fontId="3" fillId="0" borderId="35" xfId="0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  <xf numFmtId="2" fontId="0" fillId="3" borderId="0" xfId="0" applyNumberFormat="1" applyFill="1" applyBorder="1"/>
    <xf numFmtId="2" fontId="0" fillId="4" borderId="0" xfId="0" applyNumberFormat="1" applyFill="1" applyBorder="1"/>
    <xf numFmtId="2" fontId="0" fillId="5" borderId="0" xfId="0" applyNumberFormat="1" applyFill="1" applyBorder="1"/>
    <xf numFmtId="2" fontId="0" fillId="6" borderId="0" xfId="0" applyNumberFormat="1" applyFill="1" applyBorder="1"/>
    <xf numFmtId="2" fontId="0" fillId="7" borderId="0" xfId="0" applyNumberFormat="1" applyFill="1" applyBorder="1"/>
    <xf numFmtId="2" fontId="0" fillId="8" borderId="0" xfId="0" applyNumberFormat="1" applyFill="1" applyBorder="1"/>
    <xf numFmtId="0" fontId="6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 wrapText="1"/>
    </xf>
    <xf numFmtId="0" fontId="0" fillId="9" borderId="40" xfId="0" applyFont="1" applyFill="1" applyBorder="1" applyAlignment="1">
      <alignment horizontal="center" vertical="center" wrapText="1"/>
    </xf>
    <xf numFmtId="0" fontId="13" fillId="9" borderId="40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/>
    </xf>
    <xf numFmtId="0" fontId="17" fillId="10" borderId="40" xfId="0" applyFont="1" applyFill="1" applyBorder="1" applyAlignment="1">
      <alignment horizontal="center" vertical="center" wrapText="1"/>
    </xf>
    <xf numFmtId="0" fontId="16" fillId="10" borderId="40" xfId="0" applyFont="1" applyFill="1" applyBorder="1" applyAlignment="1">
      <alignment horizontal="center" vertical="center" wrapText="1"/>
    </xf>
    <xf numFmtId="1" fontId="16" fillId="10" borderId="40" xfId="0" applyNumberFormat="1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/>
    </xf>
    <xf numFmtId="2" fontId="17" fillId="0" borderId="0" xfId="0" applyNumberFormat="1" applyFont="1" applyFill="1" applyBorder="1" applyAlignment="1">
      <alignment vertical="center"/>
    </xf>
    <xf numFmtId="2" fontId="19" fillId="0" borderId="40" xfId="0" applyNumberFormat="1" applyFont="1" applyFill="1" applyBorder="1" applyAlignment="1">
      <alignment horizontal="center" vertical="center" wrapText="1"/>
    </xf>
    <xf numFmtId="2" fontId="19" fillId="0" borderId="40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right" vertical="center"/>
    </xf>
    <xf numFmtId="0" fontId="17" fillId="0" borderId="40" xfId="0" applyFont="1" applyBorder="1" applyAlignment="1">
      <alignment horizontal="right" vertical="center" wrapText="1"/>
    </xf>
    <xf numFmtId="2" fontId="17" fillId="0" borderId="40" xfId="0" applyNumberFormat="1" applyFont="1" applyFill="1" applyBorder="1" applyAlignment="1">
      <alignment horizontal="right" vertical="center"/>
    </xf>
    <xf numFmtId="2" fontId="17" fillId="0" borderId="40" xfId="0" applyNumberFormat="1" applyFont="1" applyBorder="1" applyAlignment="1">
      <alignment horizontal="right" vertical="center"/>
    </xf>
    <xf numFmtId="2" fontId="17" fillId="0" borderId="40" xfId="0" applyNumberFormat="1" applyFont="1" applyBorder="1" applyAlignment="1">
      <alignment horizontal="right" vertical="center" wrapText="1"/>
    </xf>
    <xf numFmtId="2" fontId="20" fillId="0" borderId="0" xfId="0" applyNumberFormat="1" applyFont="1"/>
    <xf numFmtId="0" fontId="19" fillId="0" borderId="57" xfId="0" applyFont="1" applyFill="1" applyBorder="1" applyAlignment="1">
      <alignment horizontal="center" vertical="center" wrapText="1"/>
    </xf>
    <xf numFmtId="2" fontId="19" fillId="0" borderId="57" xfId="0" applyNumberFormat="1" applyFont="1" applyFill="1" applyBorder="1" applyAlignment="1">
      <alignment horizontal="center" vertical="center" wrapText="1"/>
    </xf>
    <xf numFmtId="2" fontId="19" fillId="0" borderId="40" xfId="0" applyNumberFormat="1" applyFont="1" applyBorder="1" applyAlignment="1">
      <alignment horizontal="center" vertical="center"/>
    </xf>
    <xf numFmtId="2" fontId="8" fillId="0" borderId="0" xfId="0" applyNumberFormat="1" applyFont="1"/>
    <xf numFmtId="0" fontId="19" fillId="0" borderId="64" xfId="0" applyFont="1" applyFill="1" applyBorder="1" applyAlignment="1">
      <alignment horizontal="center" vertical="center" wrapText="1"/>
    </xf>
    <xf numFmtId="2" fontId="19" fillId="0" borderId="64" xfId="0" applyNumberFormat="1" applyFont="1" applyFill="1" applyBorder="1" applyAlignment="1">
      <alignment horizontal="center" vertical="center" wrapText="1"/>
    </xf>
    <xf numFmtId="0" fontId="13" fillId="10" borderId="40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13" fillId="10" borderId="32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0" fillId="0" borderId="40" xfId="0" applyBorder="1"/>
    <xf numFmtId="0" fontId="11" fillId="9" borderId="40" xfId="0" applyFont="1" applyFill="1" applyBorder="1" applyAlignment="1">
      <alignment horizontal="center" vertical="center"/>
    </xf>
    <xf numFmtId="0" fontId="11" fillId="9" borderId="40" xfId="0" applyFont="1" applyFill="1" applyBorder="1" applyAlignment="1">
      <alignment horizontal="center" vertical="center" wrapText="1"/>
    </xf>
    <xf numFmtId="0" fontId="27" fillId="9" borderId="40" xfId="0" applyFont="1" applyFill="1" applyBorder="1" applyAlignment="1">
      <alignment horizontal="center" vertical="center" wrapText="1"/>
    </xf>
    <xf numFmtId="0" fontId="0" fillId="10" borderId="40" xfId="0" applyFill="1" applyBorder="1"/>
    <xf numFmtId="0" fontId="21" fillId="0" borderId="40" xfId="0" applyFont="1" applyBorder="1" applyAlignment="1">
      <alignment horizontal="center" vertical="center" wrapText="1"/>
    </xf>
    <xf numFmtId="0" fontId="26" fillId="0" borderId="0" xfId="0" applyFont="1"/>
    <xf numFmtId="0" fontId="21" fillId="0" borderId="40" xfId="0" applyFont="1" applyBorder="1" applyAlignment="1">
      <alignment horizontal="center" vertical="top" wrapText="1"/>
    </xf>
    <xf numFmtId="0" fontId="21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0" fillId="10" borderId="31" xfId="0" applyFill="1" applyBorder="1" applyAlignment="1">
      <alignment horizontal="center" vertical="center" wrapText="1"/>
    </xf>
    <xf numFmtId="0" fontId="0" fillId="10" borderId="46" xfId="0" applyFill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6" fillId="10" borderId="44" xfId="0" applyFont="1" applyFill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DCB9A-F686-4C12-952E-87F35BF9A58D}">
  <dimension ref="A1:F21"/>
  <sheetViews>
    <sheetView tabSelected="1" view="pageBreakPreview" topLeftCell="A5" zoomScaleNormal="100" zoomScaleSheetLayoutView="100" workbookViewId="0">
      <selection activeCell="F27" sqref="F27"/>
    </sheetView>
  </sheetViews>
  <sheetFormatPr defaultRowHeight="15" x14ac:dyDescent="0.25"/>
  <cols>
    <col min="1" max="1" width="4.7109375" customWidth="1"/>
    <col min="2" max="2" width="11.28515625" customWidth="1"/>
    <col min="3" max="3" width="22.140625" customWidth="1"/>
    <col min="4" max="4" width="18.7109375" customWidth="1"/>
    <col min="5" max="5" width="16.28515625" customWidth="1"/>
    <col min="6" max="6" width="15.28515625" customWidth="1"/>
  </cols>
  <sheetData>
    <row r="1" spans="1:6" ht="15.75" thickBot="1" x14ac:dyDescent="0.3"/>
    <row r="2" spans="1:6" ht="45.75" customHeight="1" x14ac:dyDescent="0.25">
      <c r="A2" s="240" t="s">
        <v>0</v>
      </c>
      <c r="B2" s="242" t="s">
        <v>69</v>
      </c>
      <c r="C2" s="242" t="s">
        <v>90</v>
      </c>
      <c r="D2" s="242"/>
      <c r="E2" s="242" t="s">
        <v>91</v>
      </c>
      <c r="F2" s="244"/>
    </row>
    <row r="3" spans="1:6" ht="31.5" x14ac:dyDescent="0.25">
      <c r="A3" s="241"/>
      <c r="B3" s="243"/>
      <c r="C3" s="221" t="s">
        <v>93</v>
      </c>
      <c r="D3" s="224" t="s">
        <v>92</v>
      </c>
      <c r="E3" s="221" t="s">
        <v>93</v>
      </c>
      <c r="F3" s="224" t="s">
        <v>92</v>
      </c>
    </row>
    <row r="4" spans="1:6" ht="204.75" x14ac:dyDescent="0.25">
      <c r="A4" s="225">
        <v>1</v>
      </c>
      <c r="B4" s="222" t="s">
        <v>18</v>
      </c>
      <c r="C4" s="235" t="s">
        <v>98</v>
      </c>
      <c r="D4" s="235" t="s">
        <v>107</v>
      </c>
      <c r="E4" s="235" t="s">
        <v>97</v>
      </c>
      <c r="F4" s="235" t="s">
        <v>99</v>
      </c>
    </row>
    <row r="5" spans="1:6" ht="15" customHeight="1" x14ac:dyDescent="0.25">
      <c r="A5" s="226">
        <v>1</v>
      </c>
      <c r="B5" s="223" t="s">
        <v>19</v>
      </c>
      <c r="C5" s="245" t="s">
        <v>108</v>
      </c>
      <c r="D5" s="245" t="s">
        <v>108</v>
      </c>
      <c r="E5" s="245" t="s">
        <v>97</v>
      </c>
      <c r="F5" s="238" t="s">
        <v>97</v>
      </c>
    </row>
    <row r="6" spans="1:6" ht="15" customHeight="1" x14ac:dyDescent="0.25">
      <c r="A6" s="226">
        <v>2</v>
      </c>
      <c r="B6" s="223" t="s">
        <v>20</v>
      </c>
      <c r="C6" s="246"/>
      <c r="D6" s="246"/>
      <c r="E6" s="246"/>
      <c r="F6" s="239"/>
    </row>
    <row r="7" spans="1:6" ht="15" customHeight="1" x14ac:dyDescent="0.25">
      <c r="A7" s="226">
        <v>3</v>
      </c>
      <c r="B7" s="223" t="s">
        <v>21</v>
      </c>
      <c r="C7" s="246"/>
      <c r="D7" s="246"/>
      <c r="E7" s="246"/>
      <c r="F7" s="239"/>
    </row>
    <row r="8" spans="1:6" ht="27.75" customHeight="1" x14ac:dyDescent="0.25">
      <c r="A8" s="226">
        <v>4</v>
      </c>
      <c r="B8" s="223" t="s">
        <v>22</v>
      </c>
      <c r="C8" s="246"/>
      <c r="D8" s="246"/>
      <c r="E8" s="246"/>
      <c r="F8" s="239"/>
    </row>
    <row r="9" spans="1:6" ht="15" customHeight="1" x14ac:dyDescent="0.25">
      <c r="A9" s="226">
        <v>5</v>
      </c>
      <c r="B9" s="223" t="s">
        <v>23</v>
      </c>
      <c r="C9" s="246"/>
      <c r="D9" s="246"/>
      <c r="E9" s="246"/>
      <c r="F9" s="239"/>
    </row>
    <row r="10" spans="1:6" ht="15" customHeight="1" x14ac:dyDescent="0.25">
      <c r="A10" s="226">
        <v>6</v>
      </c>
      <c r="B10" s="223" t="s">
        <v>24</v>
      </c>
      <c r="C10" s="246"/>
      <c r="D10" s="246"/>
      <c r="E10" s="246"/>
      <c r="F10" s="239"/>
    </row>
    <row r="11" spans="1:6" ht="15" customHeight="1" x14ac:dyDescent="0.25">
      <c r="A11" s="226">
        <v>7</v>
      </c>
      <c r="B11" s="223" t="s">
        <v>25</v>
      </c>
      <c r="C11" s="246"/>
      <c r="D11" s="246"/>
      <c r="E11" s="246"/>
      <c r="F11" s="239"/>
    </row>
    <row r="12" spans="1:6" ht="15" customHeight="1" x14ac:dyDescent="0.25">
      <c r="A12" s="226">
        <v>8</v>
      </c>
      <c r="B12" s="223" t="s">
        <v>26</v>
      </c>
      <c r="C12" s="246"/>
      <c r="D12" s="246"/>
      <c r="E12" s="246"/>
      <c r="F12" s="239"/>
    </row>
    <row r="13" spans="1:6" ht="15" customHeight="1" x14ac:dyDescent="0.25">
      <c r="A13" s="226">
        <v>9</v>
      </c>
      <c r="B13" s="223" t="s">
        <v>27</v>
      </c>
      <c r="C13" s="246"/>
      <c r="D13" s="246"/>
      <c r="E13" s="246"/>
      <c r="F13" s="239"/>
    </row>
    <row r="14" spans="1:6" ht="15" customHeight="1" x14ac:dyDescent="0.25">
      <c r="A14" s="226">
        <v>10</v>
      </c>
      <c r="B14" s="223" t="s">
        <v>28</v>
      </c>
      <c r="C14" s="246"/>
      <c r="D14" s="246"/>
      <c r="E14" s="246"/>
      <c r="F14" s="239"/>
    </row>
    <row r="15" spans="1:6" ht="15" customHeight="1" x14ac:dyDescent="0.25">
      <c r="A15" s="226">
        <v>11</v>
      </c>
      <c r="B15" s="223" t="s">
        <v>29</v>
      </c>
      <c r="C15" s="246"/>
      <c r="D15" s="246"/>
      <c r="E15" s="246"/>
      <c r="F15" s="239"/>
    </row>
    <row r="16" spans="1:6" ht="15" customHeight="1" x14ac:dyDescent="0.25">
      <c r="A16" s="226">
        <v>12</v>
      </c>
      <c r="B16" s="223" t="s">
        <v>30</v>
      </c>
      <c r="C16" s="246"/>
      <c r="D16" s="246"/>
      <c r="E16" s="246"/>
      <c r="F16" s="239"/>
    </row>
    <row r="17" spans="1:6" ht="15" customHeight="1" x14ac:dyDescent="0.25">
      <c r="A17" s="226">
        <v>13</v>
      </c>
      <c r="B17" s="223" t="s">
        <v>31</v>
      </c>
      <c r="C17" s="246"/>
      <c r="D17" s="246"/>
      <c r="E17" s="246"/>
      <c r="F17" s="239"/>
    </row>
    <row r="18" spans="1:6" ht="15" customHeight="1" x14ac:dyDescent="0.25">
      <c r="A18" s="226">
        <v>14</v>
      </c>
      <c r="B18" s="223" t="s">
        <v>32</v>
      </c>
      <c r="C18" s="246"/>
      <c r="D18" s="246"/>
      <c r="E18" s="246"/>
      <c r="F18" s="239"/>
    </row>
    <row r="19" spans="1:6" ht="15" customHeight="1" x14ac:dyDescent="0.25">
      <c r="A19" s="226">
        <v>15</v>
      </c>
      <c r="B19" s="223" t="s">
        <v>33</v>
      </c>
      <c r="C19" s="246"/>
      <c r="D19" s="246"/>
      <c r="E19" s="246"/>
      <c r="F19" s="239"/>
    </row>
    <row r="20" spans="1:6" ht="15" customHeight="1" x14ac:dyDescent="0.25">
      <c r="A20" s="226">
        <v>16</v>
      </c>
      <c r="B20" s="223" t="s">
        <v>34</v>
      </c>
      <c r="C20" s="246"/>
      <c r="D20" s="246"/>
      <c r="E20" s="246"/>
      <c r="F20" s="239"/>
    </row>
    <row r="21" spans="1:6" ht="15" customHeight="1" thickBot="1" x14ac:dyDescent="0.3">
      <c r="A21" s="227">
        <v>17</v>
      </c>
      <c r="B21" s="228" t="s">
        <v>35</v>
      </c>
      <c r="C21" s="247"/>
      <c r="D21" s="247"/>
      <c r="E21" s="247"/>
      <c r="F21" s="239"/>
    </row>
  </sheetData>
  <mergeCells count="8">
    <mergeCell ref="F5:F21"/>
    <mergeCell ref="A2:A3"/>
    <mergeCell ref="B2:B3"/>
    <mergeCell ref="C2:D2"/>
    <mergeCell ref="E2:F2"/>
    <mergeCell ref="C5:C21"/>
    <mergeCell ref="D5:D21"/>
    <mergeCell ref="E5:E21"/>
  </mergeCells>
  <phoneticPr fontId="25" type="noConversion"/>
  <pageMargins left="0.7" right="0" top="0.4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C55A-CE3B-4A2D-A2DD-23ED9624F1A0}">
  <dimension ref="A1:F21"/>
  <sheetViews>
    <sheetView view="pageBreakPreview" topLeftCell="A4" zoomScaleNormal="100" zoomScaleSheetLayoutView="100" workbookViewId="0">
      <selection activeCell="D4" sqref="D4"/>
    </sheetView>
  </sheetViews>
  <sheetFormatPr defaultRowHeight="15" x14ac:dyDescent="0.25"/>
  <cols>
    <col min="1" max="1" width="5.7109375" customWidth="1"/>
    <col min="2" max="2" width="12.140625" customWidth="1"/>
    <col min="3" max="3" width="20.42578125" customWidth="1"/>
    <col min="4" max="4" width="18.42578125" customWidth="1"/>
    <col min="5" max="6" width="13.5703125" customWidth="1"/>
  </cols>
  <sheetData>
    <row r="1" spans="1:6" ht="15.75" thickBot="1" x14ac:dyDescent="0.3"/>
    <row r="2" spans="1:6" ht="31.5" customHeight="1" x14ac:dyDescent="0.25">
      <c r="A2" s="240" t="s">
        <v>0</v>
      </c>
      <c r="B2" s="242" t="s">
        <v>69</v>
      </c>
      <c r="C2" s="242" t="s">
        <v>87</v>
      </c>
      <c r="D2" s="242"/>
      <c r="E2" s="242" t="s">
        <v>88</v>
      </c>
      <c r="F2" s="244"/>
    </row>
    <row r="3" spans="1:6" ht="31.5" x14ac:dyDescent="0.25">
      <c r="A3" s="241"/>
      <c r="B3" s="243"/>
      <c r="C3" s="221" t="s">
        <v>83</v>
      </c>
      <c r="D3" s="221" t="s">
        <v>84</v>
      </c>
      <c r="E3" s="221" t="s">
        <v>85</v>
      </c>
      <c r="F3" s="224" t="s">
        <v>86</v>
      </c>
    </row>
    <row r="4" spans="1:6" ht="78" customHeight="1" x14ac:dyDescent="0.25">
      <c r="A4" s="225">
        <v>1</v>
      </c>
      <c r="B4" s="222" t="s">
        <v>18</v>
      </c>
      <c r="C4" s="237" t="s">
        <v>94</v>
      </c>
      <c r="D4" s="237" t="s">
        <v>95</v>
      </c>
      <c r="E4" s="248" t="s">
        <v>89</v>
      </c>
      <c r="F4" s="249"/>
    </row>
    <row r="5" spans="1:6" ht="15" customHeight="1" x14ac:dyDescent="0.25">
      <c r="A5" s="226">
        <v>1</v>
      </c>
      <c r="B5" s="223" t="s">
        <v>19</v>
      </c>
      <c r="C5" s="245" t="s">
        <v>96</v>
      </c>
      <c r="D5" s="256"/>
      <c r="E5" s="250" t="s">
        <v>89</v>
      </c>
      <c r="F5" s="251"/>
    </row>
    <row r="6" spans="1:6" ht="15" customHeight="1" x14ac:dyDescent="0.25">
      <c r="A6" s="226">
        <v>2</v>
      </c>
      <c r="B6" s="223" t="s">
        <v>20</v>
      </c>
      <c r="C6" s="252"/>
      <c r="D6" s="257"/>
      <c r="E6" s="252"/>
      <c r="F6" s="253"/>
    </row>
    <row r="7" spans="1:6" ht="15" customHeight="1" x14ac:dyDescent="0.25">
      <c r="A7" s="226">
        <v>3</v>
      </c>
      <c r="B7" s="223" t="s">
        <v>21</v>
      </c>
      <c r="C7" s="252"/>
      <c r="D7" s="257"/>
      <c r="E7" s="252"/>
      <c r="F7" s="253"/>
    </row>
    <row r="8" spans="1:6" ht="27.75" customHeight="1" x14ac:dyDescent="0.25">
      <c r="A8" s="226">
        <v>4</v>
      </c>
      <c r="B8" s="223" t="s">
        <v>22</v>
      </c>
      <c r="C8" s="252"/>
      <c r="D8" s="257"/>
      <c r="E8" s="252"/>
      <c r="F8" s="253"/>
    </row>
    <row r="9" spans="1:6" ht="15" customHeight="1" x14ac:dyDescent="0.25">
      <c r="A9" s="226">
        <v>5</v>
      </c>
      <c r="B9" s="223" t="s">
        <v>23</v>
      </c>
      <c r="C9" s="252"/>
      <c r="D9" s="257"/>
      <c r="E9" s="252"/>
      <c r="F9" s="253"/>
    </row>
    <row r="10" spans="1:6" ht="15" customHeight="1" x14ac:dyDescent="0.25">
      <c r="A10" s="226">
        <v>6</v>
      </c>
      <c r="B10" s="223" t="s">
        <v>24</v>
      </c>
      <c r="C10" s="252"/>
      <c r="D10" s="257"/>
      <c r="E10" s="252"/>
      <c r="F10" s="253"/>
    </row>
    <row r="11" spans="1:6" ht="15" customHeight="1" x14ac:dyDescent="0.25">
      <c r="A11" s="226">
        <v>7</v>
      </c>
      <c r="B11" s="223" t="s">
        <v>25</v>
      </c>
      <c r="C11" s="252"/>
      <c r="D11" s="257"/>
      <c r="E11" s="252"/>
      <c r="F11" s="253"/>
    </row>
    <row r="12" spans="1:6" ht="15" customHeight="1" x14ac:dyDescent="0.25">
      <c r="A12" s="226">
        <v>8</v>
      </c>
      <c r="B12" s="223" t="s">
        <v>26</v>
      </c>
      <c r="C12" s="252"/>
      <c r="D12" s="257"/>
      <c r="E12" s="252"/>
      <c r="F12" s="253"/>
    </row>
    <row r="13" spans="1:6" ht="15" customHeight="1" x14ac:dyDescent="0.25">
      <c r="A13" s="226">
        <v>9</v>
      </c>
      <c r="B13" s="223" t="s">
        <v>27</v>
      </c>
      <c r="C13" s="252"/>
      <c r="D13" s="257"/>
      <c r="E13" s="252"/>
      <c r="F13" s="253"/>
    </row>
    <row r="14" spans="1:6" ht="15" customHeight="1" x14ac:dyDescent="0.25">
      <c r="A14" s="226">
        <v>10</v>
      </c>
      <c r="B14" s="223" t="s">
        <v>28</v>
      </c>
      <c r="C14" s="252"/>
      <c r="D14" s="257"/>
      <c r="E14" s="252"/>
      <c r="F14" s="253"/>
    </row>
    <row r="15" spans="1:6" ht="15" customHeight="1" x14ac:dyDescent="0.25">
      <c r="A15" s="226">
        <v>11</v>
      </c>
      <c r="B15" s="223" t="s">
        <v>29</v>
      </c>
      <c r="C15" s="252"/>
      <c r="D15" s="257"/>
      <c r="E15" s="252"/>
      <c r="F15" s="253"/>
    </row>
    <row r="16" spans="1:6" ht="15" customHeight="1" x14ac:dyDescent="0.25">
      <c r="A16" s="226">
        <v>12</v>
      </c>
      <c r="B16" s="223" t="s">
        <v>30</v>
      </c>
      <c r="C16" s="252"/>
      <c r="D16" s="257"/>
      <c r="E16" s="252"/>
      <c r="F16" s="253"/>
    </row>
    <row r="17" spans="1:6" ht="15" customHeight="1" x14ac:dyDescent="0.25">
      <c r="A17" s="226">
        <v>13</v>
      </c>
      <c r="B17" s="223" t="s">
        <v>31</v>
      </c>
      <c r="C17" s="252"/>
      <c r="D17" s="257"/>
      <c r="E17" s="252"/>
      <c r="F17" s="253"/>
    </row>
    <row r="18" spans="1:6" ht="15" customHeight="1" x14ac:dyDescent="0.25">
      <c r="A18" s="226">
        <v>14</v>
      </c>
      <c r="B18" s="223" t="s">
        <v>32</v>
      </c>
      <c r="C18" s="252"/>
      <c r="D18" s="257"/>
      <c r="E18" s="252"/>
      <c r="F18" s="253"/>
    </row>
    <row r="19" spans="1:6" ht="15" customHeight="1" x14ac:dyDescent="0.25">
      <c r="A19" s="226">
        <v>15</v>
      </c>
      <c r="B19" s="223" t="s">
        <v>33</v>
      </c>
      <c r="C19" s="252"/>
      <c r="D19" s="257"/>
      <c r="E19" s="252"/>
      <c r="F19" s="253"/>
    </row>
    <row r="20" spans="1:6" ht="15" customHeight="1" x14ac:dyDescent="0.25">
      <c r="A20" s="226">
        <v>16</v>
      </c>
      <c r="B20" s="223" t="s">
        <v>34</v>
      </c>
      <c r="C20" s="252"/>
      <c r="D20" s="257"/>
      <c r="E20" s="252"/>
      <c r="F20" s="253"/>
    </row>
    <row r="21" spans="1:6" ht="15" customHeight="1" thickBot="1" x14ac:dyDescent="0.3">
      <c r="A21" s="227">
        <v>17</v>
      </c>
      <c r="B21" s="228" t="s">
        <v>35</v>
      </c>
      <c r="C21" s="254"/>
      <c r="D21" s="258"/>
      <c r="E21" s="254"/>
      <c r="F21" s="255"/>
    </row>
  </sheetData>
  <mergeCells count="7">
    <mergeCell ref="A2:A3"/>
    <mergeCell ref="E4:F4"/>
    <mergeCell ref="E5:F21"/>
    <mergeCell ref="C5:D21"/>
    <mergeCell ref="C2:D2"/>
    <mergeCell ref="E2:F2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FDA6-65AA-40EB-92E4-B5DBAAEDC6D2}">
  <dimension ref="A3:Y26"/>
  <sheetViews>
    <sheetView view="pageBreakPreview" zoomScaleNormal="100" zoomScaleSheetLayoutView="100" workbookViewId="0">
      <selection activeCell="Y7" sqref="Y7"/>
    </sheetView>
  </sheetViews>
  <sheetFormatPr defaultRowHeight="15" x14ac:dyDescent="0.25"/>
  <cols>
    <col min="1" max="1" width="3.7109375" customWidth="1"/>
    <col min="2" max="2" width="10.28515625" customWidth="1"/>
    <col min="3" max="3" width="8.42578125" customWidth="1"/>
    <col min="4" max="4" width="7.28515625" customWidth="1"/>
    <col min="5" max="5" width="5.85546875" customWidth="1"/>
    <col min="6" max="6" width="4.5703125" customWidth="1"/>
    <col min="7" max="7" width="6.28515625" customWidth="1"/>
    <col min="8" max="8" width="10" customWidth="1"/>
    <col min="9" max="9" width="5.5703125" customWidth="1"/>
    <col min="10" max="10" width="6.42578125" customWidth="1"/>
    <col min="11" max="11" width="6.28515625" customWidth="1"/>
    <col min="12" max="12" width="10.140625" customWidth="1"/>
    <col min="13" max="13" width="9.7109375" customWidth="1"/>
    <col min="14" max="14" width="7.5703125" customWidth="1"/>
    <col min="15" max="15" width="6.140625" customWidth="1"/>
    <col min="16" max="17" width="6.5703125" customWidth="1"/>
  </cols>
  <sheetData>
    <row r="3" spans="1:25" x14ac:dyDescent="0.25">
      <c r="E3">
        <v>50</v>
      </c>
      <c r="G3">
        <v>250</v>
      </c>
      <c r="H3">
        <v>25</v>
      </c>
      <c r="L3">
        <v>50</v>
      </c>
      <c r="M3">
        <v>50</v>
      </c>
    </row>
    <row r="4" spans="1:25" ht="30.75" customHeight="1" x14ac:dyDescent="0.25">
      <c r="A4" s="202" t="s">
        <v>0</v>
      </c>
      <c r="B4" s="203" t="s">
        <v>69</v>
      </c>
      <c r="C4" s="203" t="s">
        <v>70</v>
      </c>
      <c r="D4" s="203" t="s">
        <v>80</v>
      </c>
      <c r="E4" s="203" t="s">
        <v>71</v>
      </c>
      <c r="F4" s="203" t="s">
        <v>81</v>
      </c>
      <c r="G4" s="203" t="s">
        <v>72</v>
      </c>
      <c r="H4" s="203" t="s">
        <v>74</v>
      </c>
      <c r="I4" s="203" t="s">
        <v>37</v>
      </c>
      <c r="J4" s="203" t="s">
        <v>38</v>
      </c>
      <c r="K4" s="203" t="s">
        <v>39</v>
      </c>
      <c r="L4" s="203" t="s">
        <v>78</v>
      </c>
      <c r="M4" s="203" t="s">
        <v>79</v>
      </c>
      <c r="N4" s="203" t="s">
        <v>100</v>
      </c>
      <c r="O4" s="203" t="s">
        <v>37</v>
      </c>
      <c r="P4" s="203" t="s">
        <v>38</v>
      </c>
      <c r="Q4" s="203" t="s">
        <v>39</v>
      </c>
      <c r="R4" s="219" t="s">
        <v>75</v>
      </c>
      <c r="S4" s="215" t="s">
        <v>76</v>
      </c>
      <c r="T4" s="215" t="s">
        <v>39</v>
      </c>
    </row>
    <row r="5" spans="1:25" ht="14.25" customHeight="1" x14ac:dyDescent="0.25">
      <c r="A5" s="204">
        <v>1</v>
      </c>
      <c r="B5" s="205" t="s">
        <v>64</v>
      </c>
      <c r="C5" s="212">
        <f>3608.15-D5-E5-H5-L5-M5</f>
        <v>3075.9085212151122</v>
      </c>
      <c r="D5" s="212">
        <v>460</v>
      </c>
      <c r="E5" s="209">
        <f>'Anexa 2'!J5*$E$3</f>
        <v>20.640422509967948</v>
      </c>
      <c r="F5" s="209">
        <v>2.5</v>
      </c>
      <c r="G5" s="212">
        <f>'Anexa 2'!J5*$G$3</f>
        <v>103.20211254983974</v>
      </c>
      <c r="H5" s="212">
        <f>'Anexa 2'!J5*$H$3</f>
        <v>10.320211254983974</v>
      </c>
      <c r="I5" s="212">
        <f>S16</f>
        <v>17.509901202983485</v>
      </c>
      <c r="J5" s="212">
        <f>R16</f>
        <v>55.801121873209404</v>
      </c>
      <c r="K5" s="212">
        <f t="shared" ref="K5" si="0">T16</f>
        <v>33.84905992611862</v>
      </c>
      <c r="L5" s="212">
        <f>'Anexa 2'!J5*$L$3</f>
        <v>20.640422509967948</v>
      </c>
      <c r="M5" s="212">
        <f>'Anexa 2'!J5*$M$3</f>
        <v>20.640422509967948</v>
      </c>
      <c r="N5" s="212">
        <v>3360</v>
      </c>
      <c r="O5" s="212">
        <f>S17</f>
        <v>40.84990015626979</v>
      </c>
      <c r="P5" s="212">
        <f>R17</f>
        <v>130.18178861797637</v>
      </c>
      <c r="Q5" s="212">
        <f>T17</f>
        <v>78.96850486683141</v>
      </c>
      <c r="R5">
        <f>372.6+31.04+32</f>
        <v>435.64000000000004</v>
      </c>
      <c r="S5">
        <f>45.2+51.6+13.5+6.4+20</f>
        <v>136.70000000000002</v>
      </c>
      <c r="T5">
        <f>209.26+55</f>
        <v>264.26</v>
      </c>
      <c r="U5">
        <f>R5+S5+T5</f>
        <v>836.6</v>
      </c>
      <c r="V5">
        <f>U5/U6</f>
        <v>1060.0608210846426</v>
      </c>
      <c r="W5" s="70"/>
    </row>
    <row r="6" spans="1:25" ht="14.25" customHeight="1" x14ac:dyDescent="0.25">
      <c r="A6" s="259" t="s">
        <v>15</v>
      </c>
      <c r="B6" s="259"/>
      <c r="C6" s="208">
        <f>C5</f>
        <v>3075.9085212151122</v>
      </c>
      <c r="D6" s="208">
        <f t="shared" ref="D6:L6" si="1">D5</f>
        <v>460</v>
      </c>
      <c r="E6" s="208">
        <f t="shared" si="1"/>
        <v>20.640422509967948</v>
      </c>
      <c r="F6" s="208">
        <f t="shared" si="1"/>
        <v>2.5</v>
      </c>
      <c r="G6" s="208">
        <f t="shared" si="1"/>
        <v>103.20211254983974</v>
      </c>
      <c r="H6" s="208">
        <f t="shared" si="1"/>
        <v>10.320211254983974</v>
      </c>
      <c r="I6" s="208">
        <f t="shared" si="1"/>
        <v>17.509901202983485</v>
      </c>
      <c r="J6" s="208">
        <f t="shared" si="1"/>
        <v>55.801121873209404</v>
      </c>
      <c r="K6" s="208">
        <f t="shared" si="1"/>
        <v>33.84905992611862</v>
      </c>
      <c r="L6" s="208">
        <f t="shared" si="1"/>
        <v>20.640422509967948</v>
      </c>
      <c r="M6" s="208">
        <f t="shared" ref="M6:Q6" si="2">M5</f>
        <v>20.640422509967948</v>
      </c>
      <c r="N6" s="208">
        <f t="shared" si="2"/>
        <v>3360</v>
      </c>
      <c r="O6" s="208">
        <f t="shared" si="2"/>
        <v>40.84990015626979</v>
      </c>
      <c r="P6" s="208">
        <f t="shared" si="2"/>
        <v>130.18178861797637</v>
      </c>
      <c r="Q6" s="208">
        <f t="shared" si="2"/>
        <v>78.96850486683141</v>
      </c>
      <c r="R6" s="220">
        <f>R5/$U$5</f>
        <v>0.52072675113554867</v>
      </c>
      <c r="S6" s="216">
        <f t="shared" ref="S6:T6" si="3">S5/$U$5</f>
        <v>0.16339947406167823</v>
      </c>
      <c r="T6" s="216">
        <f t="shared" si="3"/>
        <v>0.31587377480277312</v>
      </c>
      <c r="U6">
        <v>0.78920000000000001</v>
      </c>
      <c r="V6">
        <v>1</v>
      </c>
    </row>
    <row r="7" spans="1:25" ht="13.5" customHeight="1" x14ac:dyDescent="0.25">
      <c r="A7" s="205">
        <v>1</v>
      </c>
      <c r="B7" s="204" t="s">
        <v>19</v>
      </c>
      <c r="C7" s="213">
        <f>'Anexa 2'!I7*$C$26</f>
        <v>874.68811683761794</v>
      </c>
      <c r="D7" s="210"/>
      <c r="E7" s="212">
        <f>'Anexa 2'!J7*$E$3</f>
        <v>3.4706900186370904</v>
      </c>
      <c r="F7" s="213">
        <f>'Anexa 2'!I7*$F$26</f>
        <v>0.47285285625318463</v>
      </c>
      <c r="G7" s="213">
        <f>'Anexa 2'!J7*$G$3</f>
        <v>17.353450093185451</v>
      </c>
      <c r="H7" s="213">
        <f>'Anexa 2'!J7*$H$3</f>
        <v>1.7353450093185452</v>
      </c>
      <c r="I7" s="211">
        <f>'Anexa 2'!I7*$I$26</f>
        <v>6.7605971882923539</v>
      </c>
      <c r="J7" s="211">
        <f>'Anexa 2'!I7*$J$26</f>
        <v>21.544890703055458</v>
      </c>
      <c r="K7" s="211">
        <f>'Anexa 2'!I7*$K$26</f>
        <v>13.06916907811366</v>
      </c>
      <c r="L7" s="212">
        <f>'Anexa 2'!J7*$L$3</f>
        <v>3.4706900186370904</v>
      </c>
      <c r="M7" s="212">
        <f>'Anexa 2'!J7*$M$3</f>
        <v>3.4706900186370904</v>
      </c>
      <c r="N7" s="213">
        <f>'Anexa 2'!I7*$N$26</f>
        <v>379.93726999943385</v>
      </c>
      <c r="O7" s="211">
        <f>'Anexa 2'!I7*$O$26</f>
        <v>6.8166135649953477</v>
      </c>
      <c r="P7" s="211">
        <f>'Anexa 2'!I7*$P$26</f>
        <v>21.723405511737916</v>
      </c>
      <c r="Q7" s="211">
        <f>'Anexa 2'!I7*$Q$26</f>
        <v>13.177456479046601</v>
      </c>
      <c r="R7">
        <f>R6*$V$5</f>
        <v>552.00202736948813</v>
      </c>
      <c r="S7">
        <f t="shared" ref="S7:T7" si="4">S6*$V$5</f>
        <v>173.2133806386214</v>
      </c>
      <c r="T7">
        <f t="shared" si="4"/>
        <v>334.84541307653319</v>
      </c>
    </row>
    <row r="8" spans="1:25" ht="13.5" customHeight="1" x14ac:dyDescent="0.25">
      <c r="A8" s="205">
        <v>2</v>
      </c>
      <c r="B8" s="204" t="s">
        <v>20</v>
      </c>
      <c r="C8" s="213">
        <f>'Anexa 2'!I8*$C$26</f>
        <v>373.35526059939031</v>
      </c>
      <c r="D8" s="210"/>
      <c r="E8" s="212">
        <f>'Anexa 2'!J8*$E$3</f>
        <v>1.4814427581945913</v>
      </c>
      <c r="F8" s="213">
        <f>'Anexa 2'!I8*$F$26</f>
        <v>0.20183434297684424</v>
      </c>
      <c r="G8" s="213">
        <f>'Anexa 2'!J8*$G$3</f>
        <v>7.407213790972957</v>
      </c>
      <c r="H8" s="213">
        <f>'Anexa 2'!J8*$H$3</f>
        <v>0.74072137909729563</v>
      </c>
      <c r="I8" s="211">
        <f>'Anexa 2'!I8*$I$26</f>
        <v>2.88571946554864</v>
      </c>
      <c r="J8" s="211">
        <f>'Anexa 2'!I8*$J$26</f>
        <v>9.19630452064089</v>
      </c>
      <c r="K8" s="211">
        <f>'Anexa 2'!I8*$K$26</f>
        <v>5.5784947034812262</v>
      </c>
      <c r="L8" s="212">
        <f>'Anexa 2'!J8*$L$3</f>
        <v>1.4814427581945913</v>
      </c>
      <c r="M8" s="212">
        <f>'Anexa 2'!J8*$M$3</f>
        <v>1.4814427581945913</v>
      </c>
      <c r="N8" s="213">
        <f>'Anexa 2'!I8*$N$26</f>
        <v>162.17389458189436</v>
      </c>
      <c r="O8" s="211">
        <f>'Anexa 2'!I8*$O$26</f>
        <v>2.9096297125489001</v>
      </c>
      <c r="P8" s="211">
        <f>'Anexa 2'!I8*$P$26</f>
        <v>9.2725024723833407</v>
      </c>
      <c r="Q8" s="211">
        <f>'Anexa 2'!I8*$Q$26</f>
        <v>5.6247165167386406</v>
      </c>
      <c r="U8">
        <v>357.16</v>
      </c>
      <c r="V8">
        <v>702.9</v>
      </c>
      <c r="W8">
        <f>U8+V8</f>
        <v>1060.06</v>
      </c>
    </row>
    <row r="9" spans="1:25" ht="13.5" customHeight="1" x14ac:dyDescent="0.25">
      <c r="A9" s="205">
        <v>3</v>
      </c>
      <c r="B9" s="204" t="s">
        <v>21</v>
      </c>
      <c r="C9" s="213">
        <f>'Anexa 2'!I9*$C$26</f>
        <v>387.07462641664699</v>
      </c>
      <c r="D9" s="210"/>
      <c r="E9" s="212">
        <f>'Anexa 2'!J9*$E$3</f>
        <v>1.5358800657187124</v>
      </c>
      <c r="F9" s="213">
        <f>'Anexa 2'!I9*$F$26</f>
        <v>0.2092509766177886</v>
      </c>
      <c r="G9" s="213">
        <f>'Anexa 2'!J9*$G$3</f>
        <v>7.6794003285935624</v>
      </c>
      <c r="H9" s="213">
        <f>'Anexa 2'!J9*$H$3</f>
        <v>0.76794003285935619</v>
      </c>
      <c r="I9" s="211">
        <f>'Anexa 2'!I9*$I$26</f>
        <v>2.9917585258535131</v>
      </c>
      <c r="J9" s="211">
        <f>'Anexa 2'!I9*$J$26</f>
        <v>9.5342332421567271</v>
      </c>
      <c r="K9" s="211">
        <f>'Anexa 2'!I9*$K$26</f>
        <v>5.7834828679008732</v>
      </c>
      <c r="L9" s="212">
        <f>'Anexa 2'!J9*$L$3</f>
        <v>1.5358800657187124</v>
      </c>
      <c r="M9" s="212">
        <f>'Anexa 2'!J9*$M$3</f>
        <v>1.5358800657187124</v>
      </c>
      <c r="N9" s="213">
        <f>'Anexa 2'!I9*$N$26</f>
        <v>168.13315971239314</v>
      </c>
      <c r="O9" s="211">
        <f>'Anexa 2'!I9*$O$26</f>
        <v>3.0165473822105846</v>
      </c>
      <c r="P9" s="211">
        <f>'Anexa 2'!I9*$P$26</f>
        <v>9.6132311747345955</v>
      </c>
      <c r="Q9" s="211">
        <f>'Anexa 2'!I9*$Q$26</f>
        <v>5.831403154520622</v>
      </c>
      <c r="U9">
        <f>U8/$W$8</f>
        <v>0.33692432503820541</v>
      </c>
      <c r="V9">
        <f>V8/$W$8</f>
        <v>0.66307567496179465</v>
      </c>
    </row>
    <row r="10" spans="1:25" ht="25.5" customHeight="1" x14ac:dyDescent="0.25">
      <c r="A10" s="205">
        <v>4</v>
      </c>
      <c r="B10" s="204" t="s">
        <v>22</v>
      </c>
      <c r="C10" s="213">
        <f>'Anexa 2'!I10*$C$26</f>
        <v>761.37243886607791</v>
      </c>
      <c r="D10" s="210"/>
      <c r="E10" s="212">
        <f>'Anexa 2'!J10*$E$3</f>
        <v>3.0210627916058006</v>
      </c>
      <c r="F10" s="213">
        <f>'Anexa 2'!I10*$F$26</f>
        <v>0.41159485931042294</v>
      </c>
      <c r="G10" s="213">
        <f>'Anexa 2'!J10*$G$3</f>
        <v>15.105313958029004</v>
      </c>
      <c r="H10" s="213">
        <f>'Anexa 2'!J10*$H$3</f>
        <v>1.5105313958029003</v>
      </c>
      <c r="I10" s="211">
        <f>'Anexa 2'!I10*$I$26</f>
        <v>5.8847631176826409</v>
      </c>
      <c r="J10" s="211">
        <f>'Anexa 2'!I10*$J$26</f>
        <v>18.753754239848323</v>
      </c>
      <c r="K10" s="211">
        <f>'Anexa 2'!I10*$K$26</f>
        <v>11.376060727716274</v>
      </c>
      <c r="L10" s="212">
        <f>'Anexa 2'!J10*$L$3</f>
        <v>3.0210627916058006</v>
      </c>
      <c r="M10" s="212">
        <f>'Anexa 2'!J10*$M$3</f>
        <v>3.0210627916058006</v>
      </c>
      <c r="N10" s="213">
        <f>'Anexa 2'!I10*$N$26</f>
        <v>330.71646945592482</v>
      </c>
      <c r="O10" s="211">
        <f>'Anexa 2'!I10*$O$26</f>
        <v>5.9335225835148684</v>
      </c>
      <c r="P10" s="211">
        <f>'Anexa 2'!I10*$P$26</f>
        <v>18.909142489264209</v>
      </c>
      <c r="Q10" s="211">
        <f>'Anexa 2'!I10*$Q$26</f>
        <v>11.470319516603064</v>
      </c>
      <c r="S10">
        <v>18744.54</v>
      </c>
      <c r="T10">
        <v>0.55000000000000004</v>
      </c>
      <c r="U10">
        <f>S10*T10</f>
        <v>10309.497000000001</v>
      </c>
      <c r="V10">
        <v>0.45</v>
      </c>
      <c r="W10">
        <f>U10*V10</f>
        <v>4639.273650000001</v>
      </c>
      <c r="X10" t="s">
        <v>77</v>
      </c>
    </row>
    <row r="11" spans="1:25" ht="13.5" customHeight="1" x14ac:dyDescent="0.25">
      <c r="A11" s="205">
        <v>5</v>
      </c>
      <c r="B11" s="204" t="s">
        <v>23</v>
      </c>
      <c r="C11" s="213">
        <f>'Anexa 2'!I11*$C$26</f>
        <v>170.6018848573371</v>
      </c>
      <c r="D11" s="210"/>
      <c r="E11" s="212">
        <f>'Anexa 2'!J11*$E$3</f>
        <v>0.67693415234193255</v>
      </c>
      <c r="F11" s="213">
        <f>'Anexa 2'!I11*$F$26</f>
        <v>9.2226688558002604E-2</v>
      </c>
      <c r="G11" s="213">
        <f>'Anexa 2'!J11*$G$3</f>
        <v>3.3846707617096627</v>
      </c>
      <c r="H11" s="213">
        <f>'Anexa 2'!J11*$H$3</f>
        <v>0.33846707617096627</v>
      </c>
      <c r="I11" s="211">
        <f>'Anexa 2'!I11*$I$26</f>
        <v>1.3186078567682284</v>
      </c>
      <c r="J11" s="211">
        <f>'Anexa 2'!I11*$J$26</f>
        <v>4.2021823461778425</v>
      </c>
      <c r="K11" s="211">
        <f>'Anexa 2'!I11*$K$26</f>
        <v>2.5490512964855307</v>
      </c>
      <c r="L11" s="212">
        <f>'Anexa 2'!J11*$L$3</f>
        <v>0.67693415234193255</v>
      </c>
      <c r="M11" s="212">
        <f>'Anexa 2'!J11*$M$3</f>
        <v>0.67693415234193255</v>
      </c>
      <c r="N11" s="213">
        <f>'Anexa 2'!I11*$N$26</f>
        <v>74.104144256355099</v>
      </c>
      <c r="O11" s="211">
        <f>'Anexa 2'!I11*$O$26</f>
        <v>1.329533464724308</v>
      </c>
      <c r="P11" s="211">
        <f>'Anexa 2'!I11*$P$26</f>
        <v>4.2370004284747447</v>
      </c>
      <c r="Q11" s="211">
        <f>'Anexa 2'!I11*$Q$26</f>
        <v>2.5701720072278391</v>
      </c>
      <c r="S11" s="70">
        <f>1735.91+E6+I6+J6+K6</f>
        <v>1863.7105055122795</v>
      </c>
      <c r="U11">
        <f>S11*T10</f>
        <v>1025.0407780317539</v>
      </c>
      <c r="W11">
        <f>U11*V10</f>
        <v>461.26835011428926</v>
      </c>
    </row>
    <row r="12" spans="1:25" ht="13.5" customHeight="1" x14ac:dyDescent="0.25">
      <c r="A12" s="205">
        <v>6</v>
      </c>
      <c r="B12" s="204" t="s">
        <v>24</v>
      </c>
      <c r="C12" s="213">
        <f>'Anexa 2'!I12*$C$26</f>
        <v>554.53467177384891</v>
      </c>
      <c r="D12" s="210"/>
      <c r="E12" s="212">
        <f>'Anexa 2'!J12*$E$3</f>
        <v>2.2003476590856552</v>
      </c>
      <c r="F12" s="213">
        <f>'Anexa 2'!I12*$F$26</f>
        <v>0.29977919945649095</v>
      </c>
      <c r="G12" s="213">
        <f>'Anexa 2'!J12*$G$3</f>
        <v>11.001738295428275</v>
      </c>
      <c r="H12" s="213">
        <f>'Anexa 2'!J12*$H$3</f>
        <v>1.1001738295428276</v>
      </c>
      <c r="I12" s="211">
        <f>'Anexa 2'!I12*$I$26</f>
        <v>4.2860826283534497</v>
      </c>
      <c r="J12" s="211">
        <f>'Anexa 2'!I12*$J$26</f>
        <v>13.65902733149888</v>
      </c>
      <c r="K12" s="211">
        <f>'Anexa 2'!I12*$K$26</f>
        <v>8.2855903099391561</v>
      </c>
      <c r="L12" s="212">
        <f>'Anexa 2'!J12*$L$3</f>
        <v>2.2003476590856552</v>
      </c>
      <c r="M12" s="212">
        <f>'Anexa 2'!J12*$M$3</f>
        <v>2.2003476590856552</v>
      </c>
      <c r="N12" s="213">
        <f>'Anexa 2'!I12*$N$26</f>
        <v>240.87258676329049</v>
      </c>
      <c r="O12" s="211">
        <f>'Anexa 2'!I12*$O$26</f>
        <v>4.3215958844169498</v>
      </c>
      <c r="P12" s="211">
        <f>'Anexa 2'!I12*$P$26</f>
        <v>13.772202129388441</v>
      </c>
      <c r="Q12" s="211">
        <f>'Anexa 2'!I12*$Q$26</f>
        <v>8.3542423439357929</v>
      </c>
      <c r="S12">
        <f>S10*0.003</f>
        <v>56.233620000000002</v>
      </c>
      <c r="U12">
        <f>S12</f>
        <v>56.233620000000002</v>
      </c>
      <c r="V12">
        <f>V10</f>
        <v>0.45</v>
      </c>
      <c r="W12">
        <f>U12*V12</f>
        <v>25.305129000000001</v>
      </c>
      <c r="X12" t="s">
        <v>82</v>
      </c>
    </row>
    <row r="13" spans="1:25" ht="13.5" customHeight="1" x14ac:dyDescent="0.25">
      <c r="A13" s="205">
        <v>7</v>
      </c>
      <c r="B13" s="204" t="s">
        <v>25</v>
      </c>
      <c r="C13" s="213">
        <f>'Anexa 2'!I13*$C$26</f>
        <v>160.54799845690471</v>
      </c>
      <c r="D13" s="210"/>
      <c r="E13" s="212">
        <f>'Anexa 2'!J13*$E$3</f>
        <v>0.63704116362196594</v>
      </c>
      <c r="F13" s="213">
        <f>'Anexa 2'!I13*$F$26</f>
        <v>8.6791598256241859E-2</v>
      </c>
      <c r="G13" s="213">
        <f>'Anexa 2'!J13*$G$3</f>
        <v>3.1852058181098299</v>
      </c>
      <c r="H13" s="213">
        <f>'Anexa 2'!J13*$H$3</f>
        <v>0.31852058181098297</v>
      </c>
      <c r="I13" s="211">
        <f>'Anexa 2'!I13*$I$26</f>
        <v>1.2408998431096956</v>
      </c>
      <c r="J13" s="211">
        <f>'Anexa 2'!I13*$J$26</f>
        <v>3.9545399243036421</v>
      </c>
      <c r="K13" s="211">
        <f>'Anexa 2'!I13*$K$26</f>
        <v>2.3988309622543391</v>
      </c>
      <c r="L13" s="212">
        <f>'Anexa 2'!J13*$L$3</f>
        <v>0.63704116362196594</v>
      </c>
      <c r="M13" s="212">
        <f>'Anexa 2'!J13*$M$3</f>
        <v>0.63704116362196594</v>
      </c>
      <c r="N13" s="213">
        <f>'Anexa 2'!I13*$N$26</f>
        <v>69.737049198890332</v>
      </c>
      <c r="O13" s="211">
        <f>'Anexa 2'!I13*$O$26</f>
        <v>1.2511815846668901</v>
      </c>
      <c r="P13" s="211">
        <f>'Anexa 2'!I13*$P$26</f>
        <v>3.9873061122478717</v>
      </c>
      <c r="Q13" s="211">
        <f>'Anexa 2'!I13*$Q$26</f>
        <v>2.4187069902273035</v>
      </c>
    </row>
    <row r="14" spans="1:25" ht="13.5" customHeight="1" x14ac:dyDescent="0.25">
      <c r="A14" s="205">
        <v>8</v>
      </c>
      <c r="B14" s="204" t="s">
        <v>26</v>
      </c>
      <c r="C14" s="213">
        <f>'Anexa 2'!I14*$C$26</f>
        <v>386.02734658326864</v>
      </c>
      <c r="D14" s="210"/>
      <c r="E14" s="212">
        <f>'Anexa 2'!J14*$E$3</f>
        <v>1.5317245460603826</v>
      </c>
      <c r="F14" s="213">
        <f>'Anexa 2'!I14*$F$26</f>
        <v>0.20868482137802186</v>
      </c>
      <c r="G14" s="213">
        <f>'Anexa 2'!J14*$G$3</f>
        <v>7.6586227303019134</v>
      </c>
      <c r="H14" s="213">
        <f>'Anexa 2'!J14*$H$3</f>
        <v>0.76586227303019128</v>
      </c>
      <c r="I14" s="211">
        <f>'Anexa 2'!I14*$I$26</f>
        <v>2.9836639410974155</v>
      </c>
      <c r="J14" s="211">
        <f>'Anexa 2'!I14*$J$26</f>
        <v>9.5084371565448311</v>
      </c>
      <c r="K14" s="211">
        <f>'Anexa 2'!I14*$K$26</f>
        <v>5.7678349164184572</v>
      </c>
      <c r="L14" s="212">
        <f>'Anexa 2'!J14*$L$3</f>
        <v>1.5317245460603826</v>
      </c>
      <c r="M14" s="212">
        <f>'Anexa 2'!J14*$M$3</f>
        <v>1.5317245460603826</v>
      </c>
      <c r="N14" s="213">
        <f>'Anexa 2'!I14*$N$26</f>
        <v>167.67825397724056</v>
      </c>
      <c r="O14" s="211">
        <f>'Anexa 2'!I14*$O$26</f>
        <v>3.0083857280379371</v>
      </c>
      <c r="P14" s="211">
        <f>'Anexa 2'!I14*$P$26</f>
        <v>9.5872213501276295</v>
      </c>
      <c r="Q14" s="211">
        <f>'Anexa 2'!I14*$Q$26</f>
        <v>5.8156255485830659</v>
      </c>
      <c r="R14" s="219" t="s">
        <v>75</v>
      </c>
      <c r="S14" s="215" t="s">
        <v>76</v>
      </c>
      <c r="T14" s="215" t="s">
        <v>39</v>
      </c>
    </row>
    <row r="15" spans="1:25" ht="13.5" customHeight="1" x14ac:dyDescent="0.25">
      <c r="A15" s="205">
        <v>9</v>
      </c>
      <c r="B15" s="204" t="s">
        <v>27</v>
      </c>
      <c r="C15" s="213">
        <f>'Anexa 2'!I15*$C$26</f>
        <v>794.67593756751012</v>
      </c>
      <c r="D15" s="210"/>
      <c r="E15" s="212">
        <f>'Anexa 2'!J15*$E$3</f>
        <v>3.1532083167406895</v>
      </c>
      <c r="F15" s="213">
        <f>'Anexa 2'!I15*$F$26</f>
        <v>0.42959859593500538</v>
      </c>
      <c r="G15" s="213">
        <f>'Anexa 2'!J15*$G$3</f>
        <v>15.766041583703448</v>
      </c>
      <c r="H15" s="213">
        <f>'Anexa 2'!J15*$H$3</f>
        <v>1.5766041583703447</v>
      </c>
      <c r="I15" s="211">
        <f>'Anexa 2'!I15*$I$26</f>
        <v>6.1421709129265301</v>
      </c>
      <c r="J15" s="211">
        <f>'Anexa 2'!I15*$J$26</f>
        <v>19.57406976230661</v>
      </c>
      <c r="K15" s="211">
        <f>'Anexa 2'!I15*$K$26</f>
        <v>11.873665584857095</v>
      </c>
      <c r="L15" s="212">
        <f>'Anexa 2'!J15*$L$3</f>
        <v>3.1532083167406895</v>
      </c>
      <c r="M15" s="212">
        <f>'Anexa 2'!J15*$M$3</f>
        <v>3.1532083167406895</v>
      </c>
      <c r="N15" s="213">
        <f>'Anexa 2'!I15*$N$26</f>
        <v>345.18247183377684</v>
      </c>
      <c r="O15" s="211">
        <f>'Anexa 2'!I15*$O$26</f>
        <v>6.1930631862050642</v>
      </c>
      <c r="P15" s="211">
        <f>'Anexa 2'!I15*$P$26</f>
        <v>19.73625491176572</v>
      </c>
      <c r="Q15" s="211">
        <f>'Anexa 2'!I15*$Q$26</f>
        <v>11.972047385417337</v>
      </c>
      <c r="R15">
        <f>R7*$U$9</f>
        <v>185.98291049118578</v>
      </c>
      <c r="S15">
        <f t="shared" ref="S15:T15" si="5">S7*$U$9</f>
        <v>58.359801359253275</v>
      </c>
      <c r="T15">
        <f t="shared" si="5"/>
        <v>112.81756479295002</v>
      </c>
      <c r="U15" t="s">
        <v>101</v>
      </c>
      <c r="W15">
        <v>107.16</v>
      </c>
      <c r="X15">
        <v>250</v>
      </c>
      <c r="Y15">
        <f>W15+X15</f>
        <v>357.15999999999997</v>
      </c>
    </row>
    <row r="16" spans="1:25" ht="13.5" customHeight="1" x14ac:dyDescent="0.25">
      <c r="A16" s="205">
        <v>10</v>
      </c>
      <c r="B16" s="204" t="s">
        <v>28</v>
      </c>
      <c r="C16" s="213">
        <f>'Anexa 2'!I16*$C$26</f>
        <v>398.17579265045777</v>
      </c>
      <c r="D16" s="210"/>
      <c r="E16" s="212">
        <f>'Anexa 2'!J16*$E$3</f>
        <v>1.5799285740970088</v>
      </c>
      <c r="F16" s="213">
        <f>'Anexa 2'!I16*$F$26</f>
        <v>0.21525222215931608</v>
      </c>
      <c r="G16" s="213">
        <f>'Anexa 2'!J16*$G$3</f>
        <v>7.8996428704850432</v>
      </c>
      <c r="H16" s="213">
        <f>'Anexa 2'!J16*$H$3</f>
        <v>0.78996428704850441</v>
      </c>
      <c r="I16" s="211">
        <f>'Anexa 2'!I16*$I$26</f>
        <v>3.0775611242681427</v>
      </c>
      <c r="J16" s="211">
        <f>'Anexa 2'!I16*$J$26</f>
        <v>9.8076717496428234</v>
      </c>
      <c r="K16" s="211">
        <f>'Anexa 2'!I16*$K$26</f>
        <v>5.9493511536144803</v>
      </c>
      <c r="L16" s="212">
        <f>'Anexa 2'!J16*$L$3</f>
        <v>1.5799285740970088</v>
      </c>
      <c r="M16" s="212">
        <f>'Anexa 2'!J16*$M$3</f>
        <v>1.5799285740970088</v>
      </c>
      <c r="N16" s="213">
        <f>'Anexa 2'!I16*$N$26</f>
        <v>172.95516050501047</v>
      </c>
      <c r="O16" s="211">
        <f>'Anexa 2'!I16*$O$26</f>
        <v>3.1030609164406502</v>
      </c>
      <c r="P16" s="211">
        <f>'Anexa 2'!I16*$P$26</f>
        <v>9.8889353155684336</v>
      </c>
      <c r="Q16" s="211">
        <f>'Anexa 2'!I16*$Q$26</f>
        <v>5.9986457774587132</v>
      </c>
      <c r="R16">
        <f>R15*$W$16</f>
        <v>55.801121873209404</v>
      </c>
      <c r="S16">
        <f t="shared" ref="S16:T16" si="6">S15*$W$16</f>
        <v>17.509901202983485</v>
      </c>
      <c r="T16">
        <f t="shared" si="6"/>
        <v>33.84905992611862</v>
      </c>
      <c r="U16" t="s">
        <v>102</v>
      </c>
      <c r="W16">
        <f>W15/$Y$15</f>
        <v>0.30003359838727744</v>
      </c>
      <c r="X16">
        <f>X15/$Y$15</f>
        <v>0.69996640161272261</v>
      </c>
    </row>
    <row r="17" spans="1:25" ht="13.5" customHeight="1" x14ac:dyDescent="0.25">
      <c r="A17" s="205">
        <v>11</v>
      </c>
      <c r="B17" s="204" t="s">
        <v>29</v>
      </c>
      <c r="C17" s="213">
        <f>'Anexa 2'!I17*$C$26</f>
        <v>410.11478275097124</v>
      </c>
      <c r="D17" s="210"/>
      <c r="E17" s="212">
        <f>'Anexa 2'!J17*$E$3</f>
        <v>1.6273014982019691</v>
      </c>
      <c r="F17" s="213">
        <f>'Anexa 2'!I17*$F$26</f>
        <v>0.22170639189265698</v>
      </c>
      <c r="G17" s="213">
        <f>'Anexa 2'!J17*$G$3</f>
        <v>8.1365074910098443</v>
      </c>
      <c r="H17" s="213">
        <f>'Anexa 2'!J17*$H$3</f>
        <v>0.81365074910098456</v>
      </c>
      <c r="I17" s="211">
        <f>'Anexa 2'!I17*$I$26</f>
        <v>3.1698393904876507</v>
      </c>
      <c r="J17" s="211">
        <f>'Anexa 2'!I17*$J$26</f>
        <v>10.101747125618436</v>
      </c>
      <c r="K17" s="211">
        <f>'Anexa 2'!I17*$K$26</f>
        <v>6.1277378005140202</v>
      </c>
      <c r="L17" s="212">
        <f>'Anexa 2'!J17*$L$3</f>
        <v>1.6273014982019691</v>
      </c>
      <c r="M17" s="212">
        <f>'Anexa 2'!J17*$M$3</f>
        <v>1.6273014982019691</v>
      </c>
      <c r="N17" s="213">
        <f>'Anexa 2'!I17*$N$26</f>
        <v>178.14108588574987</v>
      </c>
      <c r="O17" s="211">
        <f>'Anexa 2'!I17*$O$26</f>
        <v>3.1961037740088338</v>
      </c>
      <c r="P17" s="211">
        <f>'Anexa 2'!I17*$P$26</f>
        <v>10.185447316087846</v>
      </c>
      <c r="Q17" s="211">
        <f>'Anexa 2'!I17*$Q$26</f>
        <v>6.17851048514685</v>
      </c>
      <c r="R17">
        <f>R15-R16</f>
        <v>130.18178861797637</v>
      </c>
      <c r="S17">
        <f t="shared" ref="S17:T17" si="7">S15-S16</f>
        <v>40.84990015626979</v>
      </c>
      <c r="T17">
        <f t="shared" si="7"/>
        <v>78.96850486683141</v>
      </c>
      <c r="U17" t="s">
        <v>40</v>
      </c>
    </row>
    <row r="18" spans="1:25" ht="13.5" customHeight="1" x14ac:dyDescent="0.25">
      <c r="A18" s="205">
        <v>12</v>
      </c>
      <c r="B18" s="204" t="s">
        <v>30</v>
      </c>
      <c r="C18" s="213">
        <f>'Anexa 2'!I18*$C$26</f>
        <v>388.43609020003885</v>
      </c>
      <c r="D18" s="210"/>
      <c r="E18" s="212">
        <f>'Anexa 2'!J18*$E$3</f>
        <v>1.5412822412745413</v>
      </c>
      <c r="F18" s="213">
        <f>'Anexa 2'!I18*$F$26</f>
        <v>0.20998697842948535</v>
      </c>
      <c r="G18" s="213">
        <f>'Anexa 2'!J18*$G$3</f>
        <v>7.7064112063727057</v>
      </c>
      <c r="H18" s="213">
        <f>'Anexa 2'!J18*$H$3</f>
        <v>0.77064112063727064</v>
      </c>
      <c r="I18" s="211">
        <f>'Anexa 2'!I18*$I$26</f>
        <v>3.0022814860364391</v>
      </c>
      <c r="J18" s="211">
        <f>'Anexa 2'!I18*$J$26</f>
        <v>9.5677681534521906</v>
      </c>
      <c r="K18" s="211">
        <f>'Anexa 2'!I18*$K$26</f>
        <v>5.803825204828013</v>
      </c>
      <c r="L18" s="212">
        <f>'Anexa 2'!J18*$L$3</f>
        <v>1.5412822412745413</v>
      </c>
      <c r="M18" s="212">
        <f>'Anexa 2'!J18*$M$3</f>
        <v>1.5412822412745413</v>
      </c>
      <c r="N18" s="213">
        <f>'Anexa 2'!I18*$N$26</f>
        <v>168.72453716809147</v>
      </c>
      <c r="O18" s="211">
        <f>'Anexa 2'!I18*$O$26</f>
        <v>3.0271575326350266</v>
      </c>
      <c r="P18" s="211">
        <f>'Anexa 2'!I18*$P$26</f>
        <v>9.6470439467236506</v>
      </c>
      <c r="Q18" s="211">
        <f>'Anexa 2'!I18*$Q$26</f>
        <v>5.8519140422394438</v>
      </c>
    </row>
    <row r="19" spans="1:25" ht="13.5" customHeight="1" x14ac:dyDescent="0.25">
      <c r="A19" s="205">
        <v>13</v>
      </c>
      <c r="B19" s="204" t="s">
        <v>31</v>
      </c>
      <c r="C19" s="213">
        <f>'Anexa 2'!I19*$C$26</f>
        <v>367.38576554913362</v>
      </c>
      <c r="D19" s="210"/>
      <c r="E19" s="212">
        <f>'Anexa 2'!J19*$E$3</f>
        <v>1.4577562961421113</v>
      </c>
      <c r="F19" s="213">
        <f>'Anexa 2'!I19*$F$26</f>
        <v>0.19860725811017382</v>
      </c>
      <c r="G19" s="213">
        <f>'Anexa 2'!J19*$G$3</f>
        <v>7.2887814807105569</v>
      </c>
      <c r="H19" s="213">
        <f>'Anexa 2'!J19*$H$3</f>
        <v>0.72887814807105566</v>
      </c>
      <c r="I19" s="211">
        <f>'Anexa 2'!I19*$I$26</f>
        <v>2.8395803324388864</v>
      </c>
      <c r="J19" s="211">
        <f>'Anexa 2'!I19*$J$26</f>
        <v>9.0492668326530836</v>
      </c>
      <c r="K19" s="211">
        <f>'Anexa 2'!I19*$K$26</f>
        <v>5.4893013800314563</v>
      </c>
      <c r="L19" s="212">
        <f>'Anexa 2'!J19*$L$3</f>
        <v>1.4577562961421113</v>
      </c>
      <c r="M19" s="212">
        <f>'Anexa 2'!J19*$M$3</f>
        <v>1.4577562961421113</v>
      </c>
      <c r="N19" s="213">
        <f>'Anexa 2'!I19*$N$26</f>
        <v>159.58093189152467</v>
      </c>
      <c r="O19" s="211">
        <f>'Anexa 2'!I19*$O$26</f>
        <v>2.8631082837648085</v>
      </c>
      <c r="P19" s="211">
        <f>'Anexa 2'!I19*$P$26</f>
        <v>9.1242464721236374</v>
      </c>
      <c r="Q19" s="211">
        <f>'Anexa 2'!I19*$Q$26</f>
        <v>5.5347841628945735</v>
      </c>
      <c r="R19">
        <f>R7*$V$9</f>
        <v>366.01911687830238</v>
      </c>
      <c r="S19">
        <f t="shared" ref="S19:T19" si="8">S7*$V$9</f>
        <v>114.85357927936813</v>
      </c>
      <c r="T19">
        <f t="shared" si="8"/>
        <v>222.02784828358318</v>
      </c>
      <c r="U19" t="s">
        <v>103</v>
      </c>
      <c r="W19">
        <v>350</v>
      </c>
      <c r="X19">
        <v>352.9</v>
      </c>
      <c r="Y19">
        <f>W19+X19</f>
        <v>702.9</v>
      </c>
    </row>
    <row r="20" spans="1:25" ht="13.5" customHeight="1" x14ac:dyDescent="0.25">
      <c r="A20" s="205">
        <v>14</v>
      </c>
      <c r="B20" s="204" t="s">
        <v>32</v>
      </c>
      <c r="C20" s="213">
        <f>'Anexa 2'!I20*$C$26</f>
        <v>196.78388069179647</v>
      </c>
      <c r="D20" s="210"/>
      <c r="E20" s="212">
        <f>'Anexa 2'!J20*$E$3</f>
        <v>0.78082214380017878</v>
      </c>
      <c r="F20" s="213">
        <f>'Anexa 2'!I20*$F$26</f>
        <v>0.10638056955217121</v>
      </c>
      <c r="G20" s="213">
        <f>'Anexa 2'!J20*$G$3</f>
        <v>3.9041107190008937</v>
      </c>
      <c r="H20" s="213">
        <f>'Anexa 2'!J20*$H$3</f>
        <v>0.39041107190008939</v>
      </c>
      <c r="I20" s="211">
        <f>'Anexa 2'!I20*$I$26</f>
        <v>1.5209724756706577</v>
      </c>
      <c r="J20" s="211">
        <f>'Anexa 2'!I20*$J$26</f>
        <v>4.8470844864752403</v>
      </c>
      <c r="K20" s="211">
        <f>'Anexa 2'!I20*$K$26</f>
        <v>2.9402500835459255</v>
      </c>
      <c r="L20" s="212">
        <f>'Anexa 2'!J20*$L$3</f>
        <v>0.78082214380017878</v>
      </c>
      <c r="M20" s="212">
        <f>'Anexa 2'!J20*$M$3</f>
        <v>0.78082214380017878</v>
      </c>
      <c r="N20" s="213">
        <f>'Anexa 2'!I20*$N$26</f>
        <v>85.476787635169558</v>
      </c>
      <c r="O20" s="211">
        <f>'Anexa 2'!I20*$O$26</f>
        <v>1.5335748190405003</v>
      </c>
      <c r="P20" s="211">
        <f>'Anexa 2'!I20*$P$26</f>
        <v>4.8872460436488918</v>
      </c>
      <c r="Q20" s="211">
        <f>'Anexa 2'!I20*$Q$26</f>
        <v>2.964612155666734</v>
      </c>
      <c r="R20">
        <f>R19*$W$20</f>
        <v>182.25450406516694</v>
      </c>
      <c r="S20">
        <f t="shared" ref="S20:T20" si="9">S19*$W$20</f>
        <v>57.189860218777703</v>
      </c>
      <c r="T20">
        <f t="shared" si="9"/>
        <v>110.55590681356398</v>
      </c>
      <c r="U20" t="s">
        <v>102</v>
      </c>
      <c r="W20">
        <f>W19/$Y$19</f>
        <v>0.49793711765542753</v>
      </c>
      <c r="X20">
        <f>X19/$Y$19</f>
        <v>0.50206288234457241</v>
      </c>
    </row>
    <row r="21" spans="1:25" ht="13.5" customHeight="1" x14ac:dyDescent="0.25">
      <c r="A21" s="205">
        <v>15</v>
      </c>
      <c r="B21" s="204" t="s">
        <v>33</v>
      </c>
      <c r="C21" s="213">
        <f>'Anexa 2'!I21*$C$26</f>
        <v>208.51341482563424</v>
      </c>
      <c r="D21" s="210"/>
      <c r="E21" s="212">
        <f>'Anexa 2'!J21*$E$3</f>
        <v>0.827363963973473</v>
      </c>
      <c r="F21" s="213">
        <f>'Anexa 2'!I21*$F$26</f>
        <v>0.11272150823755873</v>
      </c>
      <c r="G21" s="213">
        <f>'Anexa 2'!J21*$G$3</f>
        <v>4.1368198198673651</v>
      </c>
      <c r="H21" s="213">
        <f>'Anexa 2'!J21*$H$3</f>
        <v>0.4136819819867365</v>
      </c>
      <c r="I21" s="211">
        <f>'Anexa 2'!I21*$I$26</f>
        <v>1.6116318249389459</v>
      </c>
      <c r="J21" s="211">
        <f>'Anexa 2'!I21*$J$26</f>
        <v>5.1360006453284743</v>
      </c>
      <c r="K21" s="211">
        <f>'Anexa 2'!I21*$K$26</f>
        <v>3.1155071401489818</v>
      </c>
      <c r="L21" s="212">
        <f>'Anexa 2'!J21*$L$3</f>
        <v>0.827363963973473</v>
      </c>
      <c r="M21" s="212">
        <f>'Anexa 2'!J21*$M$3</f>
        <v>0.827363963973473</v>
      </c>
      <c r="N21" s="213">
        <f>'Anexa 2'!I21*$N$26</f>
        <v>90.571731868878445</v>
      </c>
      <c r="O21" s="211">
        <f>'Anexa 2'!I21*$O$26</f>
        <v>1.6249853457741543</v>
      </c>
      <c r="P21" s="211">
        <f>'Anexa 2'!I21*$P$26</f>
        <v>5.1785560792469099</v>
      </c>
      <c r="Q21" s="211">
        <f>'Anexa 2'!I21*$Q$26</f>
        <v>3.1413213421673585</v>
      </c>
      <c r="R21">
        <f>R19-R20</f>
        <v>183.76461281313544</v>
      </c>
      <c r="S21">
        <f t="shared" ref="S21" si="10">S19-S20</f>
        <v>57.663719060590431</v>
      </c>
      <c r="T21">
        <f t="shared" ref="T21" si="11">T19-T20</f>
        <v>111.4719414700192</v>
      </c>
      <c r="U21" t="s">
        <v>40</v>
      </c>
    </row>
    <row r="22" spans="1:25" ht="13.5" customHeight="1" x14ac:dyDescent="0.25">
      <c r="A22" s="205">
        <v>16</v>
      </c>
      <c r="B22" s="204" t="s">
        <v>34</v>
      </c>
      <c r="C22" s="213">
        <f>'Anexa 2'!I22*$C$26</f>
        <v>582.60177130838952</v>
      </c>
      <c r="D22" s="210"/>
      <c r="E22" s="212">
        <f>'Anexa 2'!J22*$E$3</f>
        <v>2.3117155859288951</v>
      </c>
      <c r="F22" s="213">
        <f>'Anexa 2'!I22*$F$26</f>
        <v>0.31495215988223974</v>
      </c>
      <c r="G22" s="213">
        <f>'Anexa 2'!J22*$G$3</f>
        <v>11.558577929644477</v>
      </c>
      <c r="H22" s="213">
        <f>'Anexa 2'!J22*$H$3</f>
        <v>1.1558577929644476</v>
      </c>
      <c r="I22" s="211">
        <f>'Anexa 2'!I22*$I$26</f>
        <v>4.5030174998168544</v>
      </c>
      <c r="J22" s="211">
        <f>'Anexa 2'!I22*$J$26</f>
        <v>14.350362425897693</v>
      </c>
      <c r="K22" s="211">
        <f>'Anexa 2'!I22*$K$26</f>
        <v>8.7049554096678996</v>
      </c>
      <c r="L22" s="212">
        <f>'Anexa 2'!J22*$L$3</f>
        <v>2.3117155859288951</v>
      </c>
      <c r="M22" s="212">
        <f>'Anexa 2'!J22*$M$3</f>
        <v>2.3117155859288951</v>
      </c>
      <c r="N22" s="213">
        <f>'Anexa 2'!I22*$N$26</f>
        <v>253.06406046537964</v>
      </c>
      <c r="O22" s="211">
        <f>'Anexa 2'!I22*$O$26</f>
        <v>4.5403282162439078</v>
      </c>
      <c r="P22" s="211">
        <f>'Anexa 2'!I22*$P$26</f>
        <v>14.469265428855129</v>
      </c>
      <c r="Q22" s="211">
        <f>'Anexa 2'!I22*$Q$26</f>
        <v>8.7770821830622889</v>
      </c>
    </row>
    <row r="23" spans="1:25" ht="13.5" customHeight="1" x14ac:dyDescent="0.25">
      <c r="A23" s="205">
        <v>17</v>
      </c>
      <c r="B23" s="204" t="s">
        <v>35</v>
      </c>
      <c r="C23" s="213">
        <f>'Anexa 2'!I23*$C$26</f>
        <v>384.35169884986323</v>
      </c>
      <c r="D23" s="210"/>
      <c r="E23" s="212">
        <f>'Anexa 2'!J23*$E$3</f>
        <v>1.5250757146070548</v>
      </c>
      <c r="F23" s="213">
        <f>'Anexa 2'!I23*$F$26</f>
        <v>0.20777897299439507</v>
      </c>
      <c r="G23" s="213">
        <f>'Anexa 2'!J23*$G$3</f>
        <v>7.6253785730352739</v>
      </c>
      <c r="H23" s="213">
        <f>'Anexa 2'!J23*$H$3</f>
        <v>0.76253785730352741</v>
      </c>
      <c r="I23" s="211">
        <f>'Anexa 2'!I23*$I$26</f>
        <v>2.9707126054876603</v>
      </c>
      <c r="J23" s="211">
        <f>'Anexa 2'!I23*$J$26</f>
        <v>9.4671634195657965</v>
      </c>
      <c r="K23" s="211">
        <f>'Anexa 2'!I23*$K$26</f>
        <v>5.7427981940465918</v>
      </c>
      <c r="L23" s="212">
        <f>'Anexa 2'!J23*$L$3</f>
        <v>1.5250757146070548</v>
      </c>
      <c r="M23" s="212">
        <f>'Anexa 2'!J23*$M$3</f>
        <v>1.5250757146070548</v>
      </c>
      <c r="N23" s="213">
        <f>'Anexa 2'!I23*$N$26</f>
        <v>166.95040480099644</v>
      </c>
      <c r="O23" s="211">
        <f>'Anexa 2'!I23*$O$26</f>
        <v>2.995327081361701</v>
      </c>
      <c r="P23" s="211">
        <f>'Anexa 2'!I23*$P$26</f>
        <v>9.5456056307564836</v>
      </c>
      <c r="Q23" s="211">
        <f>'Anexa 2'!I23*$Q$26</f>
        <v>5.7903813790829775</v>
      </c>
    </row>
    <row r="24" spans="1:25" ht="13.5" customHeight="1" x14ac:dyDescent="0.25">
      <c r="A24" s="260" t="s">
        <v>16</v>
      </c>
      <c r="B24" s="261"/>
      <c r="C24" s="207">
        <f>SUM(C7:C23)</f>
        <v>7399.2414787848875</v>
      </c>
      <c r="D24" s="207">
        <f t="shared" ref="D24:K24" si="12">SUM(D7:D23)</f>
        <v>0</v>
      </c>
      <c r="E24" s="207">
        <f t="shared" si="12"/>
        <v>29.359577490032052</v>
      </c>
      <c r="F24" s="207">
        <f t="shared" si="12"/>
        <v>4</v>
      </c>
      <c r="G24" s="207">
        <f t="shared" si="12"/>
        <v>146.79788745016029</v>
      </c>
      <c r="H24" s="207">
        <f t="shared" si="12"/>
        <v>14.679788745016026</v>
      </c>
      <c r="I24" s="207">
        <f t="shared" si="12"/>
        <v>57.18986021877771</v>
      </c>
      <c r="J24" s="207">
        <f t="shared" si="12"/>
        <v>182.25450406516691</v>
      </c>
      <c r="K24" s="207">
        <f t="shared" si="12"/>
        <v>110.55590681356399</v>
      </c>
      <c r="L24" s="207">
        <f t="shared" ref="L24" si="13">SUM(L7:L23)</f>
        <v>29.359577490032052</v>
      </c>
      <c r="M24" s="207">
        <f t="shared" ref="M24:Q24" si="14">SUM(M7:M23)</f>
        <v>29.359577490032052</v>
      </c>
      <c r="N24" s="207">
        <f t="shared" si="14"/>
        <v>3214</v>
      </c>
      <c r="O24" s="207">
        <f t="shared" si="14"/>
        <v>57.663719060590438</v>
      </c>
      <c r="P24" s="207">
        <f t="shared" si="14"/>
        <v>183.76461281313544</v>
      </c>
      <c r="Q24" s="207">
        <f t="shared" si="14"/>
        <v>111.47194147001919</v>
      </c>
    </row>
    <row r="25" spans="1:25" x14ac:dyDescent="0.25">
      <c r="A25" s="260" t="s">
        <v>73</v>
      </c>
      <c r="B25" s="261"/>
      <c r="C25" s="217">
        <f>C6+C24</f>
        <v>10475.15</v>
      </c>
      <c r="D25" s="217">
        <f t="shared" ref="D25:K25" si="15">D6+D24</f>
        <v>460</v>
      </c>
      <c r="E25" s="217">
        <f t="shared" si="15"/>
        <v>50</v>
      </c>
      <c r="F25" s="217">
        <f t="shared" si="15"/>
        <v>6.5</v>
      </c>
      <c r="G25" s="217">
        <f t="shared" si="15"/>
        <v>250.00000000000003</v>
      </c>
      <c r="H25" s="217">
        <f t="shared" si="15"/>
        <v>25</v>
      </c>
      <c r="I25" s="217">
        <f t="shared" si="15"/>
        <v>74.699761421761195</v>
      </c>
      <c r="J25" s="217">
        <f t="shared" si="15"/>
        <v>238.05562593837632</v>
      </c>
      <c r="K25" s="217">
        <f t="shared" si="15"/>
        <v>144.40496673968261</v>
      </c>
      <c r="L25" s="217">
        <f t="shared" ref="L25" si="16">L6+L24</f>
        <v>50</v>
      </c>
      <c r="M25" s="217">
        <f t="shared" ref="M25:Q25" si="17">M6+M24</f>
        <v>50</v>
      </c>
      <c r="N25" s="217">
        <f t="shared" si="17"/>
        <v>6574</v>
      </c>
      <c r="O25" s="217">
        <f t="shared" si="17"/>
        <v>98.513619216860235</v>
      </c>
      <c r="P25" s="217">
        <f t="shared" si="17"/>
        <v>313.94640143111178</v>
      </c>
      <c r="Q25" s="217">
        <f t="shared" si="17"/>
        <v>190.44044633685058</v>
      </c>
      <c r="R25" s="70">
        <f>C25+D25+E25+F25+G25+H25+I25+J25+K25+L25+M25+N25+O25+P25+Q25</f>
        <v>19000.710821084645</v>
      </c>
    </row>
    <row r="26" spans="1:25" x14ac:dyDescent="0.25">
      <c r="C26" s="214">
        <f>7502-E24-H24-L24-M24</f>
        <v>7399.2414787848875</v>
      </c>
      <c r="F26">
        <v>4</v>
      </c>
      <c r="I26" s="206">
        <f>S20</f>
        <v>57.189860218777703</v>
      </c>
      <c r="J26" s="206">
        <f>R20</f>
        <v>182.25450406516694</v>
      </c>
      <c r="K26" s="218">
        <f>T20</f>
        <v>110.55590681356398</v>
      </c>
      <c r="L26" s="218"/>
      <c r="M26" s="218"/>
      <c r="N26" s="218">
        <v>3214</v>
      </c>
      <c r="O26" s="218">
        <f>S21</f>
        <v>57.663719060590431</v>
      </c>
      <c r="P26" s="218">
        <f>R21</f>
        <v>183.76461281313544</v>
      </c>
      <c r="Q26" s="218">
        <f>T21</f>
        <v>111.4719414700192</v>
      </c>
    </row>
  </sheetData>
  <mergeCells count="3">
    <mergeCell ref="A6:B6"/>
    <mergeCell ref="A24:B24"/>
    <mergeCell ref="A25:B25"/>
  </mergeCells>
  <pageMargins left="0.7" right="0" top="0.4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9812-DD82-4EA9-B35E-1B311F1C3D1F}">
  <dimension ref="A2:F23"/>
  <sheetViews>
    <sheetView workbookViewId="0">
      <selection activeCell="C3" sqref="C3"/>
    </sheetView>
  </sheetViews>
  <sheetFormatPr defaultRowHeight="15" x14ac:dyDescent="0.25"/>
  <cols>
    <col min="1" max="1" width="5.7109375" customWidth="1"/>
    <col min="2" max="2" width="19.140625" customWidth="1"/>
    <col min="3" max="3" width="14.5703125" customWidth="1"/>
    <col min="4" max="4" width="14.28515625" customWidth="1"/>
    <col min="5" max="5" width="10.42578125" customWidth="1"/>
    <col min="6" max="6" width="10.85546875" customWidth="1"/>
  </cols>
  <sheetData>
    <row r="2" spans="1:6" ht="63" x14ac:dyDescent="0.25">
      <c r="A2" s="190" t="s">
        <v>0</v>
      </c>
      <c r="B2" s="191" t="s">
        <v>1</v>
      </c>
      <c r="C2" s="191" t="s">
        <v>67</v>
      </c>
      <c r="D2" s="191" t="s">
        <v>68</v>
      </c>
      <c r="E2" s="191" t="s">
        <v>4</v>
      </c>
      <c r="F2" s="191" t="s">
        <v>36</v>
      </c>
    </row>
    <row r="3" spans="1:6" ht="15.75" x14ac:dyDescent="0.25">
      <c r="A3" s="192">
        <v>1</v>
      </c>
      <c r="B3" s="193" t="s">
        <v>18</v>
      </c>
      <c r="C3" s="194">
        <v>0</v>
      </c>
      <c r="D3" s="194">
        <v>0</v>
      </c>
      <c r="E3" s="194">
        <v>40</v>
      </c>
      <c r="F3" s="194">
        <v>84</v>
      </c>
    </row>
    <row r="4" spans="1:6" ht="15" customHeight="1" x14ac:dyDescent="0.25">
      <c r="A4" s="262" t="s">
        <v>15</v>
      </c>
      <c r="B4" s="262"/>
      <c r="C4" s="195">
        <f>C3</f>
        <v>0</v>
      </c>
      <c r="D4" s="195">
        <f t="shared" ref="D4:F4" si="0">D3</f>
        <v>0</v>
      </c>
      <c r="E4" s="195">
        <f t="shared" si="0"/>
        <v>40</v>
      </c>
      <c r="F4" s="195">
        <f t="shared" si="0"/>
        <v>84</v>
      </c>
    </row>
    <row r="5" spans="1:6" ht="15" customHeight="1" x14ac:dyDescent="0.25">
      <c r="A5" s="188">
        <v>1</v>
      </c>
      <c r="B5" s="194" t="s">
        <v>19</v>
      </c>
      <c r="C5" s="194">
        <v>60</v>
      </c>
      <c r="D5" s="194">
        <v>38</v>
      </c>
      <c r="E5" s="194">
        <v>14</v>
      </c>
      <c r="F5" s="194">
        <v>0</v>
      </c>
    </row>
    <row r="6" spans="1:6" ht="15" customHeight="1" x14ac:dyDescent="0.25">
      <c r="A6" s="188">
        <v>2</v>
      </c>
      <c r="B6" s="194" t="s">
        <v>20</v>
      </c>
      <c r="C6" s="194">
        <v>20</v>
      </c>
      <c r="D6" s="194">
        <v>14</v>
      </c>
      <c r="E6" s="194">
        <v>5</v>
      </c>
      <c r="F6" s="194">
        <v>0</v>
      </c>
    </row>
    <row r="7" spans="1:6" ht="15" customHeight="1" x14ac:dyDescent="0.25">
      <c r="A7" s="188">
        <v>3</v>
      </c>
      <c r="B7" s="194" t="s">
        <v>21</v>
      </c>
      <c r="C7" s="194">
        <v>28</v>
      </c>
      <c r="D7" s="194">
        <v>18</v>
      </c>
      <c r="E7" s="194">
        <v>0</v>
      </c>
      <c r="F7" s="194">
        <v>0</v>
      </c>
    </row>
    <row r="8" spans="1:6" ht="15" customHeight="1" x14ac:dyDescent="0.25">
      <c r="A8" s="188">
        <v>4</v>
      </c>
      <c r="B8" s="194" t="s">
        <v>22</v>
      </c>
      <c r="C8" s="194">
        <v>40</v>
      </c>
      <c r="D8" s="194">
        <v>32</v>
      </c>
      <c r="E8" s="194">
        <v>0</v>
      </c>
      <c r="F8" s="194">
        <v>0</v>
      </c>
    </row>
    <row r="9" spans="1:6" ht="15" customHeight="1" x14ac:dyDescent="0.25">
      <c r="A9" s="188">
        <v>5</v>
      </c>
      <c r="B9" s="194" t="s">
        <v>23</v>
      </c>
      <c r="C9" s="194">
        <v>8</v>
      </c>
      <c r="D9" s="194">
        <v>7</v>
      </c>
      <c r="E9" s="194">
        <v>10</v>
      </c>
      <c r="F9" s="194">
        <v>0</v>
      </c>
    </row>
    <row r="10" spans="1:6" ht="15" customHeight="1" x14ac:dyDescent="0.25">
      <c r="A10" s="188">
        <v>6</v>
      </c>
      <c r="B10" s="194" t="s">
        <v>24</v>
      </c>
      <c r="C10" s="194">
        <v>10</v>
      </c>
      <c r="D10" s="194">
        <v>7</v>
      </c>
      <c r="E10" s="194">
        <v>0</v>
      </c>
      <c r="F10" s="194">
        <v>0</v>
      </c>
    </row>
    <row r="11" spans="1:6" ht="15" customHeight="1" x14ac:dyDescent="0.25">
      <c r="A11" s="188">
        <v>7</v>
      </c>
      <c r="B11" s="194" t="s">
        <v>25</v>
      </c>
      <c r="C11" s="194">
        <v>8</v>
      </c>
      <c r="D11" s="194">
        <v>5</v>
      </c>
      <c r="E11" s="194">
        <v>0</v>
      </c>
      <c r="F11" s="194">
        <v>0</v>
      </c>
    </row>
    <row r="12" spans="1:6" ht="15" customHeight="1" x14ac:dyDescent="0.25">
      <c r="A12" s="188">
        <v>8</v>
      </c>
      <c r="B12" s="194" t="s">
        <v>26</v>
      </c>
      <c r="C12" s="194">
        <v>10</v>
      </c>
      <c r="D12" s="194">
        <v>6</v>
      </c>
      <c r="E12" s="194">
        <v>0</v>
      </c>
      <c r="F12" s="194">
        <v>0</v>
      </c>
    </row>
    <row r="13" spans="1:6" ht="15" customHeight="1" x14ac:dyDescent="0.25">
      <c r="A13" s="188">
        <v>9</v>
      </c>
      <c r="B13" s="194" t="s">
        <v>27</v>
      </c>
      <c r="C13" s="194">
        <v>30</v>
      </c>
      <c r="D13" s="194">
        <v>23</v>
      </c>
      <c r="E13" s="194">
        <v>0</v>
      </c>
      <c r="F13" s="194">
        <v>0</v>
      </c>
    </row>
    <row r="14" spans="1:6" ht="15" customHeight="1" x14ac:dyDescent="0.25">
      <c r="A14" s="188">
        <v>10</v>
      </c>
      <c r="B14" s="194" t="s">
        <v>28</v>
      </c>
      <c r="C14" s="194">
        <v>24</v>
      </c>
      <c r="D14" s="194">
        <v>16</v>
      </c>
      <c r="E14" s="194">
        <v>14</v>
      </c>
      <c r="F14" s="194">
        <v>0</v>
      </c>
    </row>
    <row r="15" spans="1:6" ht="15" customHeight="1" x14ac:dyDescent="0.25">
      <c r="A15" s="188">
        <v>11</v>
      </c>
      <c r="B15" s="194" t="s">
        <v>29</v>
      </c>
      <c r="C15" s="194">
        <v>25</v>
      </c>
      <c r="D15" s="194">
        <v>17</v>
      </c>
      <c r="E15" s="194">
        <v>0</v>
      </c>
      <c r="F15" s="194">
        <v>0</v>
      </c>
    </row>
    <row r="16" spans="1:6" ht="15" customHeight="1" x14ac:dyDescent="0.25">
      <c r="A16" s="188">
        <v>12</v>
      </c>
      <c r="B16" s="194" t="s">
        <v>30</v>
      </c>
      <c r="C16" s="194">
        <v>24</v>
      </c>
      <c r="D16" s="194">
        <v>16</v>
      </c>
      <c r="E16" s="194">
        <v>0</v>
      </c>
      <c r="F16" s="194">
        <v>0</v>
      </c>
    </row>
    <row r="17" spans="1:6" ht="15" customHeight="1" x14ac:dyDescent="0.25">
      <c r="A17" s="188">
        <v>13</v>
      </c>
      <c r="B17" s="194" t="s">
        <v>31</v>
      </c>
      <c r="C17" s="194">
        <v>30</v>
      </c>
      <c r="D17" s="194">
        <v>20</v>
      </c>
      <c r="E17" s="194">
        <v>0</v>
      </c>
      <c r="F17" s="194">
        <v>0</v>
      </c>
    </row>
    <row r="18" spans="1:6" ht="15" customHeight="1" x14ac:dyDescent="0.25">
      <c r="A18" s="188">
        <v>14</v>
      </c>
      <c r="B18" s="194" t="s">
        <v>32</v>
      </c>
      <c r="C18" s="194">
        <v>15</v>
      </c>
      <c r="D18" s="194">
        <v>10</v>
      </c>
      <c r="E18" s="194">
        <v>0</v>
      </c>
      <c r="F18" s="194">
        <v>0</v>
      </c>
    </row>
    <row r="19" spans="1:6" ht="15" customHeight="1" x14ac:dyDescent="0.25">
      <c r="A19" s="188">
        <v>15</v>
      </c>
      <c r="B19" s="194" t="s">
        <v>33</v>
      </c>
      <c r="C19" s="194">
        <v>15</v>
      </c>
      <c r="D19" s="194">
        <v>10</v>
      </c>
      <c r="E19" s="194">
        <v>0</v>
      </c>
      <c r="F19" s="194">
        <v>0</v>
      </c>
    </row>
    <row r="20" spans="1:6" ht="15" customHeight="1" x14ac:dyDescent="0.25">
      <c r="A20" s="188">
        <v>16</v>
      </c>
      <c r="B20" s="194" t="s">
        <v>34</v>
      </c>
      <c r="C20" s="194">
        <v>30</v>
      </c>
      <c r="D20" s="194">
        <v>22</v>
      </c>
      <c r="E20" s="194">
        <v>0</v>
      </c>
      <c r="F20" s="194">
        <v>0</v>
      </c>
    </row>
    <row r="21" spans="1:6" ht="15" customHeight="1" x14ac:dyDescent="0.25">
      <c r="A21" s="188">
        <v>17</v>
      </c>
      <c r="B21" s="194" t="s">
        <v>35</v>
      </c>
      <c r="C21" s="194">
        <v>30</v>
      </c>
      <c r="D21" s="194">
        <v>20</v>
      </c>
      <c r="E21" s="194">
        <v>10</v>
      </c>
      <c r="F21" s="194">
        <v>0</v>
      </c>
    </row>
    <row r="22" spans="1:6" ht="15" customHeight="1" x14ac:dyDescent="0.25">
      <c r="A22" s="262" t="s">
        <v>16</v>
      </c>
      <c r="B22" s="262"/>
      <c r="C22" s="196">
        <f>SUM(C5:C21)</f>
        <v>407</v>
      </c>
      <c r="D22" s="196">
        <f t="shared" ref="D22:F22" si="1">SUM(D5:D21)</f>
        <v>281</v>
      </c>
      <c r="E22" s="196">
        <f t="shared" si="1"/>
        <v>53</v>
      </c>
      <c r="F22" s="196">
        <f t="shared" si="1"/>
        <v>0</v>
      </c>
    </row>
    <row r="23" spans="1:6" ht="14.25" customHeight="1" x14ac:dyDescent="0.25">
      <c r="A23" s="262" t="s">
        <v>17</v>
      </c>
      <c r="B23" s="262"/>
      <c r="C23" s="196">
        <f>C4+C22</f>
        <v>407</v>
      </c>
      <c r="D23" s="196">
        <f t="shared" ref="D23:F23" si="2">D4+D22</f>
        <v>281</v>
      </c>
      <c r="E23" s="196">
        <f t="shared" si="2"/>
        <v>93</v>
      </c>
      <c r="F23" s="196">
        <f t="shared" si="2"/>
        <v>84</v>
      </c>
    </row>
  </sheetData>
  <mergeCells count="3">
    <mergeCell ref="A22:B22"/>
    <mergeCell ref="A23:B23"/>
    <mergeCell ref="A4:B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2048-0868-4ACF-B8E4-DAF61C96C7D7}">
  <dimension ref="A2:L23"/>
  <sheetViews>
    <sheetView workbookViewId="0">
      <selection activeCell="N12" sqref="N12"/>
    </sheetView>
  </sheetViews>
  <sheetFormatPr defaultRowHeight="15" x14ac:dyDescent="0.25"/>
  <cols>
    <col min="1" max="1" width="5.28515625" customWidth="1"/>
    <col min="2" max="2" width="19.42578125" customWidth="1"/>
    <col min="3" max="3" width="13.5703125" customWidth="1"/>
    <col min="4" max="4" width="6.42578125" hidden="1" customWidth="1"/>
    <col min="5" max="5" width="7" hidden="1" customWidth="1"/>
    <col min="6" max="6" width="7.140625" hidden="1" customWidth="1"/>
    <col min="7" max="7" width="11" customWidth="1"/>
    <col min="8" max="8" width="12.28515625" customWidth="1"/>
    <col min="9" max="9" width="11.28515625" customWidth="1"/>
    <col min="10" max="10" width="11.5703125" customWidth="1"/>
  </cols>
  <sheetData>
    <row r="2" spans="1:12" ht="38.25" x14ac:dyDescent="0.25">
      <c r="A2" s="197" t="s">
        <v>0</v>
      </c>
      <c r="B2" s="197" t="s">
        <v>69</v>
      </c>
      <c r="C2" s="197" t="s">
        <v>46</v>
      </c>
      <c r="D2" s="197" t="s">
        <v>48</v>
      </c>
      <c r="E2" s="197" t="s">
        <v>49</v>
      </c>
      <c r="F2" s="197" t="s">
        <v>47</v>
      </c>
      <c r="G2" s="197" t="s">
        <v>5</v>
      </c>
      <c r="H2" s="197" t="s">
        <v>6</v>
      </c>
      <c r="I2" s="197" t="s">
        <v>7</v>
      </c>
      <c r="J2" s="197" t="s">
        <v>8</v>
      </c>
    </row>
    <row r="3" spans="1:12" x14ac:dyDescent="0.25">
      <c r="A3" s="198">
        <v>1</v>
      </c>
      <c r="B3" s="199" t="s">
        <v>18</v>
      </c>
      <c r="C3" s="199">
        <v>2933</v>
      </c>
      <c r="D3" s="199">
        <v>0</v>
      </c>
      <c r="E3" s="199"/>
      <c r="F3" s="199"/>
      <c r="G3" s="199">
        <v>256</v>
      </c>
      <c r="H3" s="199">
        <v>57</v>
      </c>
      <c r="I3" s="199">
        <v>104</v>
      </c>
      <c r="J3" s="199">
        <v>92</v>
      </c>
    </row>
    <row r="4" spans="1:12" ht="15" customHeight="1" x14ac:dyDescent="0.25">
      <c r="A4" s="263" t="s">
        <v>15</v>
      </c>
      <c r="B4" s="265"/>
      <c r="C4" s="200">
        <f t="shared" ref="C4:J4" si="0">C3</f>
        <v>2933</v>
      </c>
      <c r="D4" s="200">
        <f t="shared" si="0"/>
        <v>0</v>
      </c>
      <c r="E4" s="200">
        <f t="shared" si="0"/>
        <v>0</v>
      </c>
      <c r="F4" s="200">
        <f t="shared" si="0"/>
        <v>0</v>
      </c>
      <c r="G4" s="200">
        <f t="shared" si="0"/>
        <v>256</v>
      </c>
      <c r="H4" s="200">
        <f t="shared" si="0"/>
        <v>57</v>
      </c>
      <c r="I4" s="200">
        <f t="shared" si="0"/>
        <v>104</v>
      </c>
      <c r="J4" s="200">
        <f t="shared" si="0"/>
        <v>92</v>
      </c>
    </row>
    <row r="5" spans="1:12" ht="15" customHeight="1" x14ac:dyDescent="0.25">
      <c r="A5" s="198">
        <v>1</v>
      </c>
      <c r="B5" s="199" t="s">
        <v>19</v>
      </c>
      <c r="C5" s="199"/>
      <c r="D5" s="199"/>
      <c r="E5" s="199"/>
      <c r="F5" s="199"/>
      <c r="G5" s="199">
        <v>79</v>
      </c>
      <c r="H5" s="199">
        <v>38</v>
      </c>
      <c r="I5" s="199">
        <v>23</v>
      </c>
      <c r="J5" s="199">
        <v>37</v>
      </c>
    </row>
    <row r="6" spans="1:12" ht="15" customHeight="1" x14ac:dyDescent="0.25">
      <c r="A6" s="198">
        <v>2</v>
      </c>
      <c r="B6" s="199" t="s">
        <v>20</v>
      </c>
      <c r="C6" s="199"/>
      <c r="D6" s="199"/>
      <c r="E6" s="199"/>
      <c r="F6" s="199"/>
      <c r="G6" s="199">
        <v>31</v>
      </c>
      <c r="H6" s="199">
        <v>11</v>
      </c>
      <c r="I6" s="199">
        <v>14</v>
      </c>
      <c r="J6" s="199">
        <v>12</v>
      </c>
    </row>
    <row r="7" spans="1:12" ht="15" customHeight="1" x14ac:dyDescent="0.25">
      <c r="A7" s="198">
        <v>3</v>
      </c>
      <c r="B7" s="199" t="s">
        <v>21</v>
      </c>
      <c r="C7" s="199"/>
      <c r="D7" s="199"/>
      <c r="E7" s="199"/>
      <c r="F7" s="199"/>
      <c r="G7" s="199">
        <v>37</v>
      </c>
      <c r="H7" s="199">
        <v>18</v>
      </c>
      <c r="I7" s="199">
        <v>18</v>
      </c>
      <c r="J7" s="199">
        <v>18</v>
      </c>
    </row>
    <row r="8" spans="1:12" ht="15" customHeight="1" x14ac:dyDescent="0.25">
      <c r="A8" s="198">
        <v>4</v>
      </c>
      <c r="B8" s="199" t="s">
        <v>22</v>
      </c>
      <c r="C8" s="199"/>
      <c r="D8" s="199"/>
      <c r="E8" s="199"/>
      <c r="F8" s="199"/>
      <c r="G8" s="199">
        <v>29</v>
      </c>
      <c r="H8" s="199">
        <v>30</v>
      </c>
      <c r="I8" s="199">
        <v>32</v>
      </c>
      <c r="J8" s="199">
        <v>33</v>
      </c>
    </row>
    <row r="9" spans="1:12" ht="15" customHeight="1" x14ac:dyDescent="0.25">
      <c r="A9" s="198">
        <v>5</v>
      </c>
      <c r="B9" s="199" t="s">
        <v>23</v>
      </c>
      <c r="C9" s="199"/>
      <c r="D9" s="199"/>
      <c r="E9" s="199"/>
      <c r="F9" s="199"/>
      <c r="G9" s="199">
        <v>0</v>
      </c>
      <c r="H9" s="199">
        <v>7</v>
      </c>
      <c r="I9" s="199">
        <v>7</v>
      </c>
      <c r="J9" s="199">
        <v>7</v>
      </c>
    </row>
    <row r="10" spans="1:12" ht="15" customHeight="1" x14ac:dyDescent="0.25">
      <c r="A10" s="198">
        <v>6</v>
      </c>
      <c r="B10" s="199" t="s">
        <v>24</v>
      </c>
      <c r="C10" s="199"/>
      <c r="D10" s="199"/>
      <c r="E10" s="199"/>
      <c r="F10" s="199"/>
      <c r="G10" s="199">
        <v>10</v>
      </c>
      <c r="H10" s="199">
        <v>7</v>
      </c>
      <c r="I10" s="199">
        <v>7</v>
      </c>
      <c r="J10" s="199">
        <v>7</v>
      </c>
      <c r="L10" s="236"/>
    </row>
    <row r="11" spans="1:12" ht="15" customHeight="1" x14ac:dyDescent="0.25">
      <c r="A11" s="198">
        <v>7</v>
      </c>
      <c r="B11" s="199" t="s">
        <v>25</v>
      </c>
      <c r="C11" s="199"/>
      <c r="D11" s="199"/>
      <c r="E11" s="199"/>
      <c r="F11" s="199"/>
      <c r="G11" s="199">
        <v>0</v>
      </c>
      <c r="H11" s="199">
        <v>5</v>
      </c>
      <c r="I11" s="199">
        <v>5</v>
      </c>
      <c r="J11" s="199">
        <v>5</v>
      </c>
    </row>
    <row r="12" spans="1:12" ht="15" customHeight="1" x14ac:dyDescent="0.25">
      <c r="A12" s="198">
        <v>8</v>
      </c>
      <c r="B12" s="199" t="s">
        <v>26</v>
      </c>
      <c r="C12" s="199"/>
      <c r="D12" s="199"/>
      <c r="E12" s="199"/>
      <c r="F12" s="199"/>
      <c r="G12" s="199">
        <v>14</v>
      </c>
      <c r="H12" s="199">
        <v>6</v>
      </c>
      <c r="I12" s="199">
        <v>6</v>
      </c>
      <c r="J12" s="199">
        <v>6</v>
      </c>
    </row>
    <row r="13" spans="1:12" ht="15" customHeight="1" x14ac:dyDescent="0.25">
      <c r="A13" s="198">
        <v>9</v>
      </c>
      <c r="B13" s="199" t="s">
        <v>27</v>
      </c>
      <c r="C13" s="199"/>
      <c r="D13" s="199"/>
      <c r="E13" s="199"/>
      <c r="F13" s="199"/>
      <c r="G13" s="199">
        <v>38</v>
      </c>
      <c r="H13" s="199">
        <v>23</v>
      </c>
      <c r="I13" s="199">
        <v>23</v>
      </c>
      <c r="J13" s="199">
        <v>23</v>
      </c>
    </row>
    <row r="14" spans="1:12" ht="15" customHeight="1" x14ac:dyDescent="0.25">
      <c r="A14" s="198">
        <v>10</v>
      </c>
      <c r="B14" s="199" t="s">
        <v>28</v>
      </c>
      <c r="C14" s="199"/>
      <c r="D14" s="199"/>
      <c r="E14" s="199"/>
      <c r="F14" s="199"/>
      <c r="G14" s="199">
        <v>31</v>
      </c>
      <c r="H14" s="199">
        <v>12</v>
      </c>
      <c r="I14" s="199">
        <v>1</v>
      </c>
      <c r="J14" s="199">
        <v>12</v>
      </c>
    </row>
    <row r="15" spans="1:12" ht="15" customHeight="1" x14ac:dyDescent="0.25">
      <c r="A15" s="198">
        <v>11</v>
      </c>
      <c r="B15" s="199" t="s">
        <v>29</v>
      </c>
      <c r="C15" s="199"/>
      <c r="D15" s="199"/>
      <c r="E15" s="199"/>
      <c r="F15" s="199"/>
      <c r="G15" s="199">
        <v>16</v>
      </c>
      <c r="H15" s="199">
        <v>17</v>
      </c>
      <c r="I15" s="199">
        <v>17</v>
      </c>
      <c r="J15" s="199">
        <v>17</v>
      </c>
    </row>
    <row r="16" spans="1:12" ht="15" customHeight="1" x14ac:dyDescent="0.25">
      <c r="A16" s="198">
        <v>12</v>
      </c>
      <c r="B16" s="199" t="s">
        <v>30</v>
      </c>
      <c r="C16" s="199"/>
      <c r="D16" s="199"/>
      <c r="E16" s="199"/>
      <c r="F16" s="199"/>
      <c r="G16" s="199">
        <v>30</v>
      </c>
      <c r="H16" s="199">
        <v>16</v>
      </c>
      <c r="I16" s="199">
        <v>16</v>
      </c>
      <c r="J16" s="199">
        <v>16</v>
      </c>
    </row>
    <row r="17" spans="1:10" ht="15" customHeight="1" x14ac:dyDescent="0.25">
      <c r="A17" s="198">
        <v>13</v>
      </c>
      <c r="B17" s="199" t="s">
        <v>31</v>
      </c>
      <c r="C17" s="199"/>
      <c r="D17" s="199"/>
      <c r="E17" s="199"/>
      <c r="F17" s="199"/>
      <c r="G17" s="199">
        <v>26</v>
      </c>
      <c r="H17" s="199">
        <v>20</v>
      </c>
      <c r="I17" s="199">
        <v>20</v>
      </c>
      <c r="J17" s="199">
        <v>20</v>
      </c>
    </row>
    <row r="18" spans="1:10" ht="15" customHeight="1" x14ac:dyDescent="0.25">
      <c r="A18" s="198">
        <v>14</v>
      </c>
      <c r="B18" s="199" t="s">
        <v>32</v>
      </c>
      <c r="C18" s="199"/>
      <c r="D18" s="199"/>
      <c r="E18" s="199"/>
      <c r="F18" s="199"/>
      <c r="G18" s="199">
        <v>15</v>
      </c>
      <c r="H18" s="199">
        <v>8</v>
      </c>
      <c r="I18" s="199">
        <v>7</v>
      </c>
      <c r="J18" s="199">
        <v>6</v>
      </c>
    </row>
    <row r="19" spans="1:10" ht="15" customHeight="1" x14ac:dyDescent="0.25">
      <c r="A19" s="198">
        <v>15</v>
      </c>
      <c r="B19" s="199" t="s">
        <v>33</v>
      </c>
      <c r="C19" s="199"/>
      <c r="D19" s="199"/>
      <c r="E19" s="199"/>
      <c r="F19" s="199"/>
      <c r="G19" s="199">
        <v>13</v>
      </c>
      <c r="H19" s="199">
        <v>12</v>
      </c>
      <c r="I19" s="199">
        <v>13</v>
      </c>
      <c r="J19" s="199">
        <v>14</v>
      </c>
    </row>
    <row r="20" spans="1:10" ht="15" customHeight="1" x14ac:dyDescent="0.25">
      <c r="A20" s="198">
        <v>16</v>
      </c>
      <c r="B20" s="199" t="s">
        <v>34</v>
      </c>
      <c r="C20" s="199"/>
      <c r="D20" s="199"/>
      <c r="E20" s="199"/>
      <c r="F20" s="199"/>
      <c r="G20" s="199">
        <v>33</v>
      </c>
      <c r="H20" s="199">
        <v>24</v>
      </c>
      <c r="I20" s="199">
        <v>27</v>
      </c>
      <c r="J20" s="199">
        <v>24</v>
      </c>
    </row>
    <row r="21" spans="1:10" ht="15" customHeight="1" x14ac:dyDescent="0.25">
      <c r="A21" s="198">
        <v>17</v>
      </c>
      <c r="B21" s="199" t="s">
        <v>35</v>
      </c>
      <c r="C21" s="199"/>
      <c r="D21" s="199"/>
      <c r="E21" s="199"/>
      <c r="F21" s="199"/>
      <c r="G21" s="199">
        <v>33</v>
      </c>
      <c r="H21" s="199">
        <v>14</v>
      </c>
      <c r="I21" s="199">
        <v>14</v>
      </c>
      <c r="J21" s="199">
        <v>13</v>
      </c>
    </row>
    <row r="22" spans="1:10" ht="15" customHeight="1" x14ac:dyDescent="0.25">
      <c r="A22" s="263" t="s">
        <v>16</v>
      </c>
      <c r="B22" s="264"/>
      <c r="C22" s="200">
        <f t="shared" ref="C22:J22" si="1">SUM(C5:C21)</f>
        <v>0</v>
      </c>
      <c r="D22" s="200">
        <f t="shared" si="1"/>
        <v>0</v>
      </c>
      <c r="E22" s="200">
        <f t="shared" si="1"/>
        <v>0</v>
      </c>
      <c r="F22" s="200">
        <f t="shared" si="1"/>
        <v>0</v>
      </c>
      <c r="G22" s="200">
        <f t="shared" si="1"/>
        <v>435</v>
      </c>
      <c r="H22" s="200">
        <f t="shared" si="1"/>
        <v>268</v>
      </c>
      <c r="I22" s="201">
        <f t="shared" si="1"/>
        <v>250</v>
      </c>
      <c r="J22" s="200">
        <f t="shared" si="1"/>
        <v>270</v>
      </c>
    </row>
    <row r="23" spans="1:10" ht="21.75" customHeight="1" x14ac:dyDescent="0.25">
      <c r="A23" s="263" t="s">
        <v>17</v>
      </c>
      <c r="B23" s="264"/>
      <c r="C23" s="200">
        <f t="shared" ref="C23:J23" si="2">C4+C22</f>
        <v>2933</v>
      </c>
      <c r="D23" s="200">
        <f t="shared" si="2"/>
        <v>0</v>
      </c>
      <c r="E23" s="200">
        <f t="shared" si="2"/>
        <v>0</v>
      </c>
      <c r="F23" s="200">
        <f t="shared" si="2"/>
        <v>0</v>
      </c>
      <c r="G23" s="200">
        <f t="shared" si="2"/>
        <v>691</v>
      </c>
      <c r="H23" s="200">
        <f t="shared" si="2"/>
        <v>325</v>
      </c>
      <c r="I23" s="200">
        <f t="shared" si="2"/>
        <v>354</v>
      </c>
      <c r="J23" s="200">
        <f t="shared" si="2"/>
        <v>362</v>
      </c>
    </row>
  </sheetData>
  <mergeCells count="3">
    <mergeCell ref="A22:B22"/>
    <mergeCell ref="A23:B23"/>
    <mergeCell ref="A4:B4"/>
  </mergeCells>
  <pageMargins left="0.95" right="0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161D-FE72-46AF-94A8-DB412DEDE9D4}">
  <dimension ref="A4:J25"/>
  <sheetViews>
    <sheetView view="pageBreakPreview" topLeftCell="A7" zoomScaleNormal="100" zoomScaleSheetLayoutView="100" workbookViewId="0">
      <selection activeCell="G11" sqref="G11"/>
    </sheetView>
  </sheetViews>
  <sheetFormatPr defaultRowHeight="15" x14ac:dyDescent="0.25"/>
  <cols>
    <col min="1" max="1" width="5.42578125" customWidth="1"/>
    <col min="2" max="2" width="12.28515625" customWidth="1"/>
    <col min="4" max="4" width="17.85546875" customWidth="1"/>
    <col min="5" max="5" width="9.42578125" customWidth="1"/>
    <col min="6" max="6" width="9.85546875" customWidth="1"/>
    <col min="7" max="7" width="10.42578125" customWidth="1"/>
    <col min="8" max="8" width="11.85546875" customWidth="1"/>
    <col min="9" max="9" width="9.5703125" bestFit="1" customWidth="1"/>
  </cols>
  <sheetData>
    <row r="4" spans="1:10" ht="63" customHeight="1" x14ac:dyDescent="0.25">
      <c r="A4" s="189" t="s">
        <v>0</v>
      </c>
      <c r="B4" s="231" t="s">
        <v>60</v>
      </c>
      <c r="C4" s="231" t="s">
        <v>61</v>
      </c>
      <c r="D4" s="231" t="s">
        <v>62</v>
      </c>
      <c r="E4" s="232" t="s">
        <v>63</v>
      </c>
      <c r="F4" s="233" t="s">
        <v>104</v>
      </c>
      <c r="G4" s="233" t="s">
        <v>105</v>
      </c>
      <c r="H4" s="233" t="s">
        <v>106</v>
      </c>
      <c r="J4">
        <v>2.7549999999999999</v>
      </c>
    </row>
    <row r="5" spans="1:10" ht="20.25" customHeight="1" x14ac:dyDescent="0.25">
      <c r="A5" s="186">
        <v>1</v>
      </c>
      <c r="B5" s="185" t="s">
        <v>64</v>
      </c>
      <c r="C5" s="185" t="s">
        <v>50</v>
      </c>
      <c r="D5" s="185" t="s">
        <v>65</v>
      </c>
      <c r="E5" s="185">
        <v>18029</v>
      </c>
      <c r="F5" s="185"/>
      <c r="G5" s="230">
        <v>6957</v>
      </c>
      <c r="H5" s="230"/>
      <c r="J5">
        <f>J4*E5/$I$25</f>
        <v>0.41280845019935897</v>
      </c>
    </row>
    <row r="6" spans="1:10" ht="20.25" customHeight="1" x14ac:dyDescent="0.25">
      <c r="A6" s="266" t="s">
        <v>15</v>
      </c>
      <c r="B6" s="266"/>
      <c r="C6" s="266"/>
      <c r="D6" s="266"/>
      <c r="E6" s="229">
        <f>E5</f>
        <v>18029</v>
      </c>
      <c r="F6" s="229">
        <f t="shared" ref="F6:H6" si="0">F5</f>
        <v>0</v>
      </c>
      <c r="G6" s="229">
        <f t="shared" si="0"/>
        <v>6957</v>
      </c>
      <c r="H6" s="229">
        <f t="shared" si="0"/>
        <v>0</v>
      </c>
    </row>
    <row r="7" spans="1:10" ht="13.5" customHeight="1" x14ac:dyDescent="0.25">
      <c r="A7" s="187">
        <v>1</v>
      </c>
      <c r="B7" s="185" t="s">
        <v>64</v>
      </c>
      <c r="C7" s="185" t="s">
        <v>66</v>
      </c>
      <c r="D7" s="185" t="s">
        <v>19</v>
      </c>
      <c r="E7" s="185">
        <v>8352</v>
      </c>
      <c r="F7" s="185"/>
      <c r="G7" s="230">
        <v>2543</v>
      </c>
      <c r="H7" s="230"/>
      <c r="I7">
        <f>E7/$E$24</f>
        <v>0.11821321406329616</v>
      </c>
      <c r="J7">
        <f>E7/$I$25</f>
        <v>6.9413800372741807E-2</v>
      </c>
    </row>
    <row r="8" spans="1:10" ht="13.5" customHeight="1" x14ac:dyDescent="0.25">
      <c r="A8" s="187">
        <v>2</v>
      </c>
      <c r="B8" s="185" t="s">
        <v>64</v>
      </c>
      <c r="C8" s="185" t="s">
        <v>66</v>
      </c>
      <c r="D8" s="185" t="s">
        <v>20</v>
      </c>
      <c r="E8" s="185">
        <v>3565</v>
      </c>
      <c r="F8" s="185"/>
      <c r="G8" s="230">
        <v>1604</v>
      </c>
      <c r="H8" s="230"/>
      <c r="I8">
        <f>E8/$E$24</f>
        <v>5.0458585744211061E-2</v>
      </c>
      <c r="J8">
        <f t="shared" ref="J8:J23" si="1">E8/$I$25</f>
        <v>2.9628855163891826E-2</v>
      </c>
    </row>
    <row r="9" spans="1:10" ht="13.5" customHeight="1" x14ac:dyDescent="0.25">
      <c r="A9" s="187">
        <v>3</v>
      </c>
      <c r="B9" s="185" t="s">
        <v>64</v>
      </c>
      <c r="C9" s="185" t="s">
        <v>66</v>
      </c>
      <c r="D9" s="185" t="s">
        <v>21</v>
      </c>
      <c r="E9" s="185">
        <v>3696</v>
      </c>
      <c r="F9" s="185"/>
      <c r="G9" s="230">
        <v>1632</v>
      </c>
      <c r="H9" s="234"/>
      <c r="I9">
        <f t="shared" ref="I9:I23" si="2">E9/$E$24</f>
        <v>5.2312744154447151E-2</v>
      </c>
      <c r="J9">
        <f t="shared" si="1"/>
        <v>3.0717601314374249E-2</v>
      </c>
    </row>
    <row r="10" spans="1:10" ht="13.5" customHeight="1" x14ac:dyDescent="0.25">
      <c r="A10" s="187">
        <v>4</v>
      </c>
      <c r="B10" s="185" t="s">
        <v>64</v>
      </c>
      <c r="C10" s="185" t="s">
        <v>66</v>
      </c>
      <c r="D10" s="185" t="s">
        <v>22</v>
      </c>
      <c r="E10" s="185">
        <v>7270</v>
      </c>
      <c r="F10" s="185"/>
      <c r="G10" s="230">
        <v>2391</v>
      </c>
      <c r="H10" s="230"/>
      <c r="I10">
        <f t="shared" si="2"/>
        <v>0.10289871482760574</v>
      </c>
      <c r="J10">
        <f t="shared" si="1"/>
        <v>6.0421255832116015E-2</v>
      </c>
    </row>
    <row r="11" spans="1:10" ht="13.5" customHeight="1" x14ac:dyDescent="0.25">
      <c r="A11" s="187">
        <v>5</v>
      </c>
      <c r="B11" s="185" t="s">
        <v>64</v>
      </c>
      <c r="C11" s="185" t="s">
        <v>66</v>
      </c>
      <c r="D11" s="185" t="s">
        <v>23</v>
      </c>
      <c r="E11" s="185">
        <v>1629</v>
      </c>
      <c r="F11" s="185"/>
      <c r="G11" s="230">
        <v>831</v>
      </c>
      <c r="H11" s="230"/>
      <c r="I11">
        <f t="shared" si="2"/>
        <v>2.3056672139500651E-2</v>
      </c>
      <c r="J11">
        <f t="shared" si="1"/>
        <v>1.353868304683865E-2</v>
      </c>
    </row>
    <row r="12" spans="1:10" ht="13.5" customHeight="1" x14ac:dyDescent="0.25">
      <c r="A12" s="187">
        <v>6</v>
      </c>
      <c r="B12" s="185" t="s">
        <v>64</v>
      </c>
      <c r="C12" s="185" t="s">
        <v>66</v>
      </c>
      <c r="D12" s="185" t="s">
        <v>24</v>
      </c>
      <c r="E12" s="185">
        <v>5295</v>
      </c>
      <c r="F12" s="185"/>
      <c r="G12" s="230">
        <v>1819</v>
      </c>
      <c r="H12" s="230"/>
      <c r="I12">
        <f t="shared" si="2"/>
        <v>7.4944799864122738E-2</v>
      </c>
      <c r="J12">
        <f t="shared" si="1"/>
        <v>4.4006953181713104E-2</v>
      </c>
    </row>
    <row r="13" spans="1:10" ht="13.5" customHeight="1" x14ac:dyDescent="0.25">
      <c r="A13" s="187">
        <v>7</v>
      </c>
      <c r="B13" s="185" t="s">
        <v>64</v>
      </c>
      <c r="C13" s="185" t="s">
        <v>66</v>
      </c>
      <c r="D13" s="185" t="s">
        <v>25</v>
      </c>
      <c r="E13" s="185">
        <v>1533</v>
      </c>
      <c r="F13" s="185"/>
      <c r="G13" s="230">
        <v>560</v>
      </c>
      <c r="H13" s="230"/>
      <c r="I13">
        <f t="shared" si="2"/>
        <v>2.1697899564060465E-2</v>
      </c>
      <c r="J13">
        <f t="shared" si="1"/>
        <v>1.2740823272439319E-2</v>
      </c>
    </row>
    <row r="14" spans="1:10" ht="13.5" customHeight="1" x14ac:dyDescent="0.25">
      <c r="A14" s="187">
        <v>8</v>
      </c>
      <c r="B14" s="185" t="s">
        <v>64</v>
      </c>
      <c r="C14" s="185" t="s">
        <v>66</v>
      </c>
      <c r="D14" s="185" t="s">
        <v>26</v>
      </c>
      <c r="E14" s="185">
        <v>3686</v>
      </c>
      <c r="F14" s="185"/>
      <c r="G14" s="230">
        <v>1319</v>
      </c>
      <c r="H14" s="230"/>
      <c r="I14">
        <f t="shared" si="2"/>
        <v>5.2171205344505464E-2</v>
      </c>
      <c r="J14">
        <f t="shared" si="1"/>
        <v>3.0634490921207652E-2</v>
      </c>
    </row>
    <row r="15" spans="1:10" ht="13.5" customHeight="1" x14ac:dyDescent="0.25">
      <c r="A15" s="187">
        <v>9</v>
      </c>
      <c r="B15" s="185" t="s">
        <v>64</v>
      </c>
      <c r="C15" s="185" t="s">
        <v>66</v>
      </c>
      <c r="D15" s="185" t="s">
        <v>27</v>
      </c>
      <c r="E15" s="185">
        <v>7588</v>
      </c>
      <c r="F15" s="185"/>
      <c r="G15" s="230">
        <v>2618</v>
      </c>
      <c r="H15" s="230"/>
      <c r="I15">
        <f t="shared" si="2"/>
        <v>0.10739964898375134</v>
      </c>
      <c r="J15">
        <f t="shared" si="1"/>
        <v>6.3064166334813793E-2</v>
      </c>
    </row>
    <row r="16" spans="1:10" ht="13.5" customHeight="1" x14ac:dyDescent="0.25">
      <c r="A16" s="187">
        <v>10</v>
      </c>
      <c r="B16" s="185" t="s">
        <v>64</v>
      </c>
      <c r="C16" s="185" t="s">
        <v>66</v>
      </c>
      <c r="D16" s="185" t="s">
        <v>28</v>
      </c>
      <c r="E16" s="185">
        <v>3802</v>
      </c>
      <c r="F16" s="185"/>
      <c r="G16" s="230">
        <v>1207</v>
      </c>
      <c r="H16" s="230"/>
      <c r="I16">
        <f t="shared" si="2"/>
        <v>5.381305553982902E-2</v>
      </c>
      <c r="J16">
        <f t="shared" si="1"/>
        <v>3.1598571481940174E-2</v>
      </c>
    </row>
    <row r="17" spans="1:10" ht="13.5" customHeight="1" x14ac:dyDescent="0.25">
      <c r="A17" s="187">
        <v>11</v>
      </c>
      <c r="B17" s="185" t="s">
        <v>64</v>
      </c>
      <c r="C17" s="185" t="s">
        <v>66</v>
      </c>
      <c r="D17" s="185" t="s">
        <v>29</v>
      </c>
      <c r="E17" s="185">
        <v>3916</v>
      </c>
      <c r="F17" s="185"/>
      <c r="G17" s="230">
        <v>1224</v>
      </c>
      <c r="H17" s="230"/>
      <c r="I17">
        <f t="shared" si="2"/>
        <v>5.5426597973164245E-2</v>
      </c>
      <c r="J17">
        <f t="shared" si="1"/>
        <v>3.254602996403938E-2</v>
      </c>
    </row>
    <row r="18" spans="1:10" ht="13.5" customHeight="1" x14ac:dyDescent="0.25">
      <c r="A18" s="187">
        <v>12</v>
      </c>
      <c r="B18" s="185" t="s">
        <v>64</v>
      </c>
      <c r="C18" s="185" t="s">
        <v>66</v>
      </c>
      <c r="D18" s="185" t="s">
        <v>30</v>
      </c>
      <c r="E18" s="185">
        <v>3709</v>
      </c>
      <c r="F18" s="185"/>
      <c r="G18" s="230">
        <v>1264</v>
      </c>
      <c r="H18" s="230"/>
      <c r="I18">
        <f t="shared" si="2"/>
        <v>5.2496744607371339E-2</v>
      </c>
      <c r="J18">
        <f t="shared" si="1"/>
        <v>3.0825644825490824E-2</v>
      </c>
    </row>
    <row r="19" spans="1:10" ht="13.5" customHeight="1" x14ac:dyDescent="0.25">
      <c r="A19" s="187">
        <v>13</v>
      </c>
      <c r="B19" s="185" t="s">
        <v>64</v>
      </c>
      <c r="C19" s="185" t="s">
        <v>66</v>
      </c>
      <c r="D19" s="185" t="s">
        <v>31</v>
      </c>
      <c r="E19" s="185">
        <v>3508</v>
      </c>
      <c r="F19" s="185"/>
      <c r="G19" s="230">
        <v>1515</v>
      </c>
      <c r="H19" s="230"/>
      <c r="I19">
        <f t="shared" si="2"/>
        <v>4.9651814527543456E-2</v>
      </c>
      <c r="J19">
        <f t="shared" si="1"/>
        <v>2.9155125922842227E-2</v>
      </c>
    </row>
    <row r="20" spans="1:10" ht="13.5" customHeight="1" x14ac:dyDescent="0.25">
      <c r="A20" s="187">
        <v>14</v>
      </c>
      <c r="B20" s="185" t="s">
        <v>64</v>
      </c>
      <c r="C20" s="185" t="s">
        <v>66</v>
      </c>
      <c r="D20" s="185" t="s">
        <v>32</v>
      </c>
      <c r="E20" s="185">
        <v>1879</v>
      </c>
      <c r="F20" s="185"/>
      <c r="G20" s="230">
        <v>833</v>
      </c>
      <c r="H20" s="230"/>
      <c r="I20">
        <f t="shared" si="2"/>
        <v>2.6595142388042801E-2</v>
      </c>
      <c r="J20">
        <f t="shared" si="1"/>
        <v>1.5616442876003575E-2</v>
      </c>
    </row>
    <row r="21" spans="1:10" ht="13.5" customHeight="1" x14ac:dyDescent="0.25">
      <c r="A21" s="187">
        <v>15</v>
      </c>
      <c r="B21" s="185" t="s">
        <v>64</v>
      </c>
      <c r="C21" s="185" t="s">
        <v>66</v>
      </c>
      <c r="D21" s="185" t="s">
        <v>33</v>
      </c>
      <c r="E21" s="185">
        <v>1991</v>
      </c>
      <c r="F21" s="185"/>
      <c r="G21" s="230">
        <v>878</v>
      </c>
      <c r="H21" s="230"/>
      <c r="I21">
        <f t="shared" si="2"/>
        <v>2.8180377059389684E-2</v>
      </c>
      <c r="J21">
        <f t="shared" si="1"/>
        <v>1.654727927946946E-2</v>
      </c>
    </row>
    <row r="22" spans="1:10" ht="13.5" customHeight="1" x14ac:dyDescent="0.25">
      <c r="A22" s="187">
        <v>16</v>
      </c>
      <c r="B22" s="185" t="s">
        <v>64</v>
      </c>
      <c r="C22" s="185" t="s">
        <v>66</v>
      </c>
      <c r="D22" s="185" t="s">
        <v>34</v>
      </c>
      <c r="E22" s="185">
        <v>5563</v>
      </c>
      <c r="F22" s="185"/>
      <c r="G22" s="230">
        <v>1902</v>
      </c>
      <c r="H22" s="230"/>
      <c r="I22">
        <f t="shared" si="2"/>
        <v>7.8738039970559934E-2</v>
      </c>
      <c r="J22">
        <f t="shared" si="1"/>
        <v>4.6234311718577906E-2</v>
      </c>
    </row>
    <row r="23" spans="1:10" ht="13.5" customHeight="1" x14ac:dyDescent="0.25">
      <c r="A23" s="187">
        <v>17</v>
      </c>
      <c r="B23" s="185" t="s">
        <v>64</v>
      </c>
      <c r="C23" s="185" t="s">
        <v>66</v>
      </c>
      <c r="D23" s="185" t="s">
        <v>35</v>
      </c>
      <c r="E23" s="185">
        <v>3670</v>
      </c>
      <c r="F23" s="185"/>
      <c r="G23" s="230">
        <v>1493</v>
      </c>
      <c r="H23" s="230"/>
      <c r="I23">
        <f t="shared" si="2"/>
        <v>5.1944743248598768E-2</v>
      </c>
      <c r="J23">
        <f t="shared" si="1"/>
        <v>3.0501514292141096E-2</v>
      </c>
    </row>
    <row r="24" spans="1:10" ht="13.5" customHeight="1" x14ac:dyDescent="0.25">
      <c r="A24" s="266" t="s">
        <v>16</v>
      </c>
      <c r="B24" s="266"/>
      <c r="C24" s="266"/>
      <c r="D24" s="266"/>
      <c r="E24" s="229">
        <f>SUM(E7:E23)</f>
        <v>70652</v>
      </c>
      <c r="F24" s="229">
        <f t="shared" ref="F24:H24" si="3">SUM(F7:F23)</f>
        <v>0</v>
      </c>
      <c r="G24" s="229">
        <f t="shared" si="3"/>
        <v>25633</v>
      </c>
      <c r="H24" s="229">
        <f t="shared" si="3"/>
        <v>0</v>
      </c>
    </row>
    <row r="25" spans="1:10" x14ac:dyDescent="0.25">
      <c r="I25" s="70">
        <f>J4*E6+E24</f>
        <v>120321.89499999999</v>
      </c>
    </row>
  </sheetData>
  <mergeCells count="2">
    <mergeCell ref="A6:D6"/>
    <mergeCell ref="A24:D2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J32"/>
  <sheetViews>
    <sheetView workbookViewId="0">
      <selection activeCell="J16" sqref="J16:J17"/>
    </sheetView>
  </sheetViews>
  <sheetFormatPr defaultRowHeight="15" x14ac:dyDescent="0.25"/>
  <cols>
    <col min="2" max="2" width="6.5703125" customWidth="1"/>
    <col min="3" max="3" width="18.28515625" customWidth="1"/>
    <col min="5" max="5" width="9.5703125" bestFit="1" customWidth="1"/>
    <col min="9" max="9" width="12" customWidth="1"/>
    <col min="10" max="10" width="10.7109375" bestFit="1" customWidth="1"/>
    <col min="13" max="13" width="11.28515625" customWidth="1"/>
    <col min="15" max="15" width="11.5703125" customWidth="1"/>
    <col min="17" max="17" width="10.7109375" customWidth="1"/>
    <col min="19" max="19" width="10.7109375" bestFit="1" customWidth="1"/>
    <col min="20" max="20" width="11.85546875" customWidth="1"/>
    <col min="23" max="23" width="11.28515625" customWidth="1"/>
    <col min="24" max="24" width="11.85546875" bestFit="1" customWidth="1"/>
    <col min="25" max="25" width="10.7109375" bestFit="1" customWidth="1"/>
    <col min="26" max="26" width="11.85546875" customWidth="1"/>
    <col min="27" max="27" width="9.5703125" bestFit="1" customWidth="1"/>
    <col min="28" max="28" width="9.5703125" customWidth="1"/>
    <col min="29" max="29" width="11.85546875" customWidth="1"/>
    <col min="30" max="30" width="10.7109375" bestFit="1" customWidth="1"/>
    <col min="35" max="35" width="10.7109375" bestFit="1" customWidth="1"/>
    <col min="37" max="37" width="9.5703125" bestFit="1" customWidth="1"/>
  </cols>
  <sheetData>
    <row r="2" spans="2:62" ht="15.75" thickBot="1" x14ac:dyDescent="0.3">
      <c r="D2">
        <v>1245.97</v>
      </c>
      <c r="F2">
        <v>2872.79</v>
      </c>
      <c r="I2">
        <v>2365.67</v>
      </c>
      <c r="K2">
        <v>93</v>
      </c>
      <c r="O2">
        <v>0.8</v>
      </c>
      <c r="R2">
        <v>2089.9299999999998</v>
      </c>
      <c r="U2">
        <v>942.4</v>
      </c>
      <c r="X2">
        <v>905.2</v>
      </c>
      <c r="AA2">
        <v>905</v>
      </c>
      <c r="AV2" t="s">
        <v>42</v>
      </c>
      <c r="AZ2" t="s">
        <v>40</v>
      </c>
      <c r="BD2" t="s">
        <v>44</v>
      </c>
      <c r="BH2" t="s">
        <v>53</v>
      </c>
    </row>
    <row r="3" spans="2:62" ht="95.25" thickBot="1" x14ac:dyDescent="0.3">
      <c r="B3" s="1" t="s">
        <v>0</v>
      </c>
      <c r="C3" s="2" t="s">
        <v>1</v>
      </c>
      <c r="D3" s="3" t="s">
        <v>2</v>
      </c>
      <c r="E3" s="3" t="s">
        <v>56</v>
      </c>
      <c r="F3" s="4" t="s">
        <v>3</v>
      </c>
      <c r="G3" s="3" t="s">
        <v>55</v>
      </c>
      <c r="H3" s="3" t="s">
        <v>4</v>
      </c>
      <c r="I3" s="3" t="s">
        <v>36</v>
      </c>
      <c r="J3" s="3" t="s">
        <v>56</v>
      </c>
      <c r="K3" s="3" t="s">
        <v>46</v>
      </c>
      <c r="L3" s="3" t="s">
        <v>56</v>
      </c>
      <c r="M3" s="3" t="s">
        <v>48</v>
      </c>
      <c r="N3" s="3" t="s">
        <v>49</v>
      </c>
      <c r="O3" s="5" t="s">
        <v>45</v>
      </c>
      <c r="P3" s="3" t="s">
        <v>47</v>
      </c>
      <c r="Q3" s="3" t="s">
        <v>56</v>
      </c>
      <c r="R3" s="3" t="s">
        <v>5</v>
      </c>
      <c r="S3" s="3" t="s">
        <v>56</v>
      </c>
      <c r="T3" s="5" t="s">
        <v>45</v>
      </c>
      <c r="U3" s="5" t="s">
        <v>6</v>
      </c>
      <c r="V3" s="3" t="s">
        <v>56</v>
      </c>
      <c r="W3" s="5" t="s">
        <v>45</v>
      </c>
      <c r="X3" s="5" t="s">
        <v>7</v>
      </c>
      <c r="Y3" s="3" t="s">
        <v>56</v>
      </c>
      <c r="Z3" s="5" t="s">
        <v>45</v>
      </c>
      <c r="AA3" s="6" t="s">
        <v>8</v>
      </c>
      <c r="AB3" s="3" t="s">
        <v>56</v>
      </c>
      <c r="AC3" s="5" t="s">
        <v>45</v>
      </c>
      <c r="AD3" s="3" t="s">
        <v>9</v>
      </c>
      <c r="AE3" s="7" t="s">
        <v>10</v>
      </c>
      <c r="AF3" s="7" t="s">
        <v>11</v>
      </c>
      <c r="AG3" s="8" t="s">
        <v>12</v>
      </c>
      <c r="AH3" s="9" t="s">
        <v>13</v>
      </c>
      <c r="AI3" s="7" t="s">
        <v>14</v>
      </c>
      <c r="AJ3" s="8" t="s">
        <v>12</v>
      </c>
      <c r="AK3" s="9" t="s">
        <v>13</v>
      </c>
      <c r="AL3" s="64" t="s">
        <v>40</v>
      </c>
      <c r="AM3" s="8" t="s">
        <v>12</v>
      </c>
      <c r="AN3" s="9" t="s">
        <v>41</v>
      </c>
      <c r="AP3" s="3" t="s">
        <v>43</v>
      </c>
      <c r="AQ3" s="178"/>
      <c r="AS3" s="64" t="s">
        <v>50</v>
      </c>
      <c r="AU3" s="7" t="s">
        <v>37</v>
      </c>
      <c r="AV3" s="64" t="s">
        <v>38</v>
      </c>
      <c r="AW3" s="65" t="s">
        <v>39</v>
      </c>
      <c r="AY3" s="7" t="s">
        <v>37</v>
      </c>
      <c r="AZ3" s="64" t="s">
        <v>38</v>
      </c>
      <c r="BA3" s="65" t="s">
        <v>39</v>
      </c>
      <c r="BC3" s="7" t="s">
        <v>37</v>
      </c>
      <c r="BD3" s="64" t="s">
        <v>38</v>
      </c>
      <c r="BE3" s="65" t="s">
        <v>39</v>
      </c>
      <c r="BG3" s="7" t="s">
        <v>37</v>
      </c>
      <c r="BH3" s="64" t="s">
        <v>38</v>
      </c>
      <c r="BI3" s="65" t="s">
        <v>39</v>
      </c>
    </row>
    <row r="4" spans="2:62" ht="16.5" thickBot="1" x14ac:dyDescent="0.3">
      <c r="B4" s="10">
        <v>1</v>
      </c>
      <c r="C4" s="11" t="s">
        <v>18</v>
      </c>
      <c r="D4" s="12">
        <v>0</v>
      </c>
      <c r="E4" s="13"/>
      <c r="F4" s="13"/>
      <c r="G4" s="13"/>
      <c r="H4" s="13">
        <v>40</v>
      </c>
      <c r="I4" s="13">
        <v>84</v>
      </c>
      <c r="J4" s="13">
        <f>I2*I4</f>
        <v>198716.28</v>
      </c>
      <c r="K4" s="13">
        <v>2933</v>
      </c>
      <c r="L4" s="13">
        <f>K2*K4</f>
        <v>272769</v>
      </c>
      <c r="M4" s="13">
        <v>3574</v>
      </c>
      <c r="N4" s="13"/>
      <c r="O4" s="13">
        <f>(K4+M4)*O2/60</f>
        <v>86.76</v>
      </c>
      <c r="P4" s="13"/>
      <c r="Q4" s="13"/>
      <c r="R4" s="14">
        <v>160</v>
      </c>
      <c r="S4" s="111">
        <f>R4*R2</f>
        <v>334388.8</v>
      </c>
      <c r="T4" s="125">
        <f>(R4+P4)*T5/60</f>
        <v>5.333333333333333</v>
      </c>
      <c r="U4" s="111">
        <v>84</v>
      </c>
      <c r="V4" s="111">
        <f>U4*U2</f>
        <v>79161.599999999991</v>
      </c>
      <c r="W4" s="15">
        <f>U4*W5/60</f>
        <v>2.8</v>
      </c>
      <c r="X4" s="14">
        <v>84</v>
      </c>
      <c r="Y4" s="13">
        <f>X4*X2</f>
        <v>76036.800000000003</v>
      </c>
      <c r="Z4" s="13">
        <f>X4*Z5/60</f>
        <v>2.8</v>
      </c>
      <c r="AA4" s="12">
        <v>84</v>
      </c>
      <c r="AB4" s="23">
        <f>AA4*AA2</f>
        <v>76020</v>
      </c>
      <c r="AC4" s="23">
        <f>AA4*AC5/60</f>
        <v>2.8</v>
      </c>
      <c r="AD4" s="6">
        <v>17422</v>
      </c>
      <c r="AE4" s="16">
        <v>0.96679999999999999</v>
      </c>
      <c r="AF4" s="17">
        <f t="shared" ref="AF4:AF22" si="0">AD4*AE4*7/1000</f>
        <v>117.90512719999998</v>
      </c>
      <c r="AG4" s="17">
        <f>0.3891*AD4*7/1000</f>
        <v>47.452301399999996</v>
      </c>
      <c r="AH4" s="18">
        <f t="shared" ref="AH4:AH22" si="1">AF4-AG4</f>
        <v>70.452825799999985</v>
      </c>
      <c r="AI4" s="17">
        <f>AE4*AD4*365/1000</f>
        <v>6147.9102039999998</v>
      </c>
      <c r="AJ4" s="19">
        <f>0.3891*AD4*365/1000</f>
        <v>2474.298573</v>
      </c>
      <c r="AK4" s="71">
        <f t="shared" ref="AK4:AK22" si="2">AI4-AJ4</f>
        <v>3673.6116309999998</v>
      </c>
      <c r="AL4" s="84">
        <f>AI4*25.38%</f>
        <v>1560.3396097751997</v>
      </c>
      <c r="AM4" s="85">
        <f>AJ4*25.38%</f>
        <v>627.97697782739988</v>
      </c>
      <c r="AN4" s="86">
        <f>AK4*25.38%</f>
        <v>932.36263194779985</v>
      </c>
      <c r="AP4" s="69">
        <f>AN4+AK4</f>
        <v>4605.9742629477996</v>
      </c>
      <c r="AQ4" s="103"/>
      <c r="AR4" t="s">
        <v>51</v>
      </c>
      <c r="AS4" s="118">
        <f>46.54%*AP4</f>
        <v>2143.6204219759056</v>
      </c>
      <c r="AU4" s="66">
        <f>0.1665*AD4*365/1000</f>
        <v>1058.778495</v>
      </c>
      <c r="AV4" s="67">
        <f>0.1353*AD4*365/1000</f>
        <v>860.37675900000011</v>
      </c>
      <c r="AW4" s="68">
        <f>0.0873*AD4*365/1000</f>
        <v>555.14331900000002</v>
      </c>
      <c r="AY4" s="82">
        <f>25.38%*AU4</f>
        <v>268.71798203099996</v>
      </c>
      <c r="AZ4" s="80">
        <f t="shared" ref="AZ4:BA4" si="3">25.38%*AV4</f>
        <v>218.36362143420001</v>
      </c>
      <c r="BA4" s="81">
        <f t="shared" si="3"/>
        <v>140.89537436219999</v>
      </c>
      <c r="BC4" s="82">
        <f>AU4+AY4</f>
        <v>1327.496477031</v>
      </c>
      <c r="BD4" s="80">
        <f t="shared" ref="BD4:BE4" si="4">AV4+AZ4</f>
        <v>1078.7403804342002</v>
      </c>
      <c r="BE4" s="81">
        <f t="shared" si="4"/>
        <v>696.03869336219998</v>
      </c>
      <c r="BF4" t="s">
        <v>51</v>
      </c>
      <c r="BG4" s="104">
        <f>46.54%*BC4</f>
        <v>617.81686041022738</v>
      </c>
      <c r="BH4" s="77">
        <f>46.54%*BD4</f>
        <v>502.04577305407679</v>
      </c>
      <c r="BI4" s="78">
        <f t="shared" ref="BI4" si="5">46.54%*BE4</f>
        <v>323.93640789076784</v>
      </c>
    </row>
    <row r="5" spans="2:62" ht="15" customHeight="1" thickBot="1" x14ac:dyDescent="0.3">
      <c r="B5" s="20"/>
      <c r="C5" s="21" t="s">
        <v>15</v>
      </c>
      <c r="D5" s="22">
        <f>D4</f>
        <v>0</v>
      </c>
      <c r="E5" s="22">
        <f t="shared" ref="E5:J5" si="6">E4</f>
        <v>0</v>
      </c>
      <c r="F5" s="22">
        <f t="shared" si="6"/>
        <v>0</v>
      </c>
      <c r="G5" s="22">
        <f t="shared" si="6"/>
        <v>0</v>
      </c>
      <c r="H5" s="22">
        <f t="shared" si="6"/>
        <v>40</v>
      </c>
      <c r="I5" s="22">
        <f t="shared" si="6"/>
        <v>84</v>
      </c>
      <c r="J5" s="22">
        <f t="shared" si="6"/>
        <v>198716.28</v>
      </c>
      <c r="K5" s="22">
        <f t="shared" ref="K5:AB5" si="7">K4</f>
        <v>2933</v>
      </c>
      <c r="L5" s="22">
        <f t="shared" si="7"/>
        <v>272769</v>
      </c>
      <c r="M5" s="22">
        <f t="shared" si="7"/>
        <v>3574</v>
      </c>
      <c r="N5" s="22">
        <f t="shared" si="7"/>
        <v>0</v>
      </c>
      <c r="O5" s="22">
        <f t="shared" si="7"/>
        <v>86.76</v>
      </c>
      <c r="P5" s="22">
        <f t="shared" si="7"/>
        <v>0</v>
      </c>
      <c r="Q5" s="22">
        <v>2</v>
      </c>
      <c r="R5" s="22">
        <f t="shared" si="7"/>
        <v>160</v>
      </c>
      <c r="S5" s="22">
        <f t="shared" si="7"/>
        <v>334388.8</v>
      </c>
      <c r="T5" s="22">
        <v>2</v>
      </c>
      <c r="U5" s="22">
        <f t="shared" si="7"/>
        <v>84</v>
      </c>
      <c r="V5" s="22">
        <f t="shared" si="7"/>
        <v>79161.599999999991</v>
      </c>
      <c r="W5" s="22">
        <v>2</v>
      </c>
      <c r="X5" s="22">
        <f t="shared" si="7"/>
        <v>84</v>
      </c>
      <c r="Y5" s="22">
        <f t="shared" si="7"/>
        <v>76036.800000000003</v>
      </c>
      <c r="Z5" s="22">
        <v>2</v>
      </c>
      <c r="AA5" s="112">
        <f t="shared" si="7"/>
        <v>84</v>
      </c>
      <c r="AB5" s="111">
        <f t="shared" si="7"/>
        <v>76020</v>
      </c>
      <c r="AC5" s="111">
        <v>2</v>
      </c>
      <c r="AD5" s="23">
        <f>SUM(AD4:AD4)</f>
        <v>17422</v>
      </c>
      <c r="AE5" s="16">
        <v>0.96679999999999999</v>
      </c>
      <c r="AF5" s="18">
        <f t="shared" si="0"/>
        <v>117.90512719999998</v>
      </c>
      <c r="AG5" s="24">
        <f>AG4</f>
        <v>47.452301399999996</v>
      </c>
      <c r="AH5" s="25">
        <f t="shared" si="1"/>
        <v>70.452825799999985</v>
      </c>
      <c r="AI5" s="24">
        <f>AE5*AD5*365/1000</f>
        <v>6147.9102039999998</v>
      </c>
      <c r="AJ5" s="26">
        <f>AJ4</f>
        <v>2474.298573</v>
      </c>
      <c r="AK5" s="72">
        <f t="shared" si="2"/>
        <v>3673.6116309999998</v>
      </c>
      <c r="AL5" s="87">
        <f t="shared" ref="AL5:AL22" si="8">AI5*25.38%</f>
        <v>1560.3396097751997</v>
      </c>
      <c r="AM5" s="88">
        <f t="shared" ref="AM5:AM22" si="9">AJ5*25.38%</f>
        <v>627.97697782739988</v>
      </c>
      <c r="AN5" s="89">
        <f t="shared" ref="AN5:AN22" si="10">AK5*25.38%</f>
        <v>932.36263194779985</v>
      </c>
      <c r="AP5" s="70"/>
      <c r="AQ5" s="70"/>
      <c r="AR5" t="s">
        <v>52</v>
      </c>
      <c r="AS5" s="110">
        <f>53.46%*AP4</f>
        <v>2462.3538409718935</v>
      </c>
      <c r="AY5" s="70"/>
      <c r="AZ5" s="70"/>
      <c r="BA5" s="70"/>
      <c r="BC5" s="70"/>
      <c r="BD5" s="70"/>
      <c r="BE5" s="70"/>
      <c r="BF5" t="s">
        <v>52</v>
      </c>
      <c r="BG5" s="115">
        <f>53.46%*BC4</f>
        <v>709.67961662077255</v>
      </c>
      <c r="BH5" s="116">
        <f t="shared" ref="BH5:BI5" si="11">53.46%*BD4</f>
        <v>576.69460738012344</v>
      </c>
      <c r="BI5" s="117">
        <f t="shared" si="11"/>
        <v>372.10228547143208</v>
      </c>
    </row>
    <row r="6" spans="2:62" ht="15" customHeight="1" thickBot="1" x14ac:dyDescent="0.3">
      <c r="B6" s="27">
        <v>1</v>
      </c>
      <c r="C6" s="30" t="s">
        <v>19</v>
      </c>
      <c r="D6" s="28">
        <v>60</v>
      </c>
      <c r="E6" s="28">
        <f>D6*D2</f>
        <v>74758.2</v>
      </c>
      <c r="F6" s="28">
        <v>38</v>
      </c>
      <c r="G6" s="28">
        <f>F6*F2</f>
        <v>109166.02</v>
      </c>
      <c r="H6" s="28">
        <v>14</v>
      </c>
      <c r="I6" s="28"/>
      <c r="J6" s="28"/>
      <c r="K6" s="28"/>
      <c r="L6" s="28"/>
      <c r="M6" s="28"/>
      <c r="N6" s="28"/>
      <c r="O6" s="28"/>
      <c r="P6" s="28"/>
      <c r="Q6" s="28"/>
      <c r="R6" s="29">
        <v>96</v>
      </c>
      <c r="S6" s="29">
        <f>R6*R2</f>
        <v>200633.27999999997</v>
      </c>
      <c r="T6" s="29">
        <f>(R6+P6)*T5/60</f>
        <v>3.2</v>
      </c>
      <c r="U6" s="31">
        <v>38</v>
      </c>
      <c r="V6" s="28">
        <f>U6*U2</f>
        <v>35811.199999999997</v>
      </c>
      <c r="W6" s="113">
        <f>U6*W5/60</f>
        <v>1.2666666666666666</v>
      </c>
      <c r="X6" s="31">
        <v>38</v>
      </c>
      <c r="Y6" s="29">
        <f>X6*X2</f>
        <v>34397.599999999999</v>
      </c>
      <c r="Z6" s="113">
        <f>X6*Z5/60</f>
        <v>1.2666666666666666</v>
      </c>
      <c r="AA6" s="31">
        <v>38</v>
      </c>
      <c r="AB6" s="29">
        <f>AA6*AA2</f>
        <v>34390</v>
      </c>
      <c r="AC6" s="113">
        <f>AA6*AC5/60</f>
        <v>1.2666666666666666</v>
      </c>
      <c r="AD6" s="32">
        <v>7201</v>
      </c>
      <c r="AE6" s="33">
        <v>0.44169999999999998</v>
      </c>
      <c r="AF6" s="34">
        <f>AD6*AE6*7/1000</f>
        <v>22.2647719</v>
      </c>
      <c r="AG6" s="35">
        <f>0.1147*AD6*7/1000</f>
        <v>5.7816828999999998</v>
      </c>
      <c r="AH6" s="36">
        <f t="shared" si="1"/>
        <v>16.483089</v>
      </c>
      <c r="AI6" s="34">
        <f>AE6*AD6*365/1000</f>
        <v>1160.9488205000002</v>
      </c>
      <c r="AJ6" s="37">
        <f>0.1147*AD6*365/1000</f>
        <v>301.47346549999997</v>
      </c>
      <c r="AK6" s="73">
        <f t="shared" si="2"/>
        <v>859.47535500000026</v>
      </c>
      <c r="AL6" s="94">
        <f t="shared" si="8"/>
        <v>294.6488106429</v>
      </c>
      <c r="AM6" s="90">
        <f t="shared" si="9"/>
        <v>76.513965543899985</v>
      </c>
      <c r="AN6" s="91">
        <f t="shared" si="10"/>
        <v>218.13484509900005</v>
      </c>
      <c r="AP6" s="108">
        <f>AN6+AK6</f>
        <v>1077.6102000990004</v>
      </c>
      <c r="AQ6" s="179">
        <f>AP6/52</f>
        <v>20.723273078826931</v>
      </c>
      <c r="AU6" s="162">
        <f t="shared" ref="AU6:AU22" si="12">0.0462*AD6*365/1000</f>
        <v>121.43046299999999</v>
      </c>
      <c r="AV6" s="163">
        <f t="shared" ref="AV6:AV22" si="13">0.0417*365*AD6/1000</f>
        <v>109.60282050000001</v>
      </c>
      <c r="AW6" s="164">
        <f t="shared" ref="AW6:AW22" si="14">0.0268*AD6*365/1000</f>
        <v>70.440182000000007</v>
      </c>
      <c r="AY6" s="104">
        <f t="shared" ref="AY6:AY22" si="15">25.38%*AU6</f>
        <v>30.819051509399994</v>
      </c>
      <c r="AZ6" s="77">
        <f t="shared" ref="AZ6:AZ22" si="16">25.38%*AV6</f>
        <v>27.817195842899999</v>
      </c>
      <c r="BA6" s="78">
        <f t="shared" ref="BA6:BA22" si="17">25.38%*AW6</f>
        <v>17.8777181916</v>
      </c>
      <c r="BC6" s="104">
        <f t="shared" ref="BC6:BC22" si="18">AU6+AY6</f>
        <v>152.24951450939997</v>
      </c>
      <c r="BD6" s="77">
        <f t="shared" ref="BD6:BD22" si="19">AV6+AZ6</f>
        <v>137.4200163429</v>
      </c>
      <c r="BE6" s="78">
        <f t="shared" ref="BE6:BE22" si="20">AW6+BA6</f>
        <v>88.317900191600003</v>
      </c>
    </row>
    <row r="7" spans="2:62" ht="15" customHeight="1" thickBot="1" x14ac:dyDescent="0.3">
      <c r="B7" s="38">
        <v>2</v>
      </c>
      <c r="C7" s="41" t="s">
        <v>20</v>
      </c>
      <c r="D7" s="39">
        <v>20</v>
      </c>
      <c r="E7" s="28">
        <f>D7*D2</f>
        <v>24919.4</v>
      </c>
      <c r="F7" s="39">
        <v>14</v>
      </c>
      <c r="G7" s="39">
        <f>F7*F2</f>
        <v>40219.06</v>
      </c>
      <c r="H7" s="39">
        <v>5</v>
      </c>
      <c r="I7" s="28"/>
      <c r="J7" s="28"/>
      <c r="K7" s="39"/>
      <c r="L7" s="39"/>
      <c r="M7" s="141">
        <v>1422</v>
      </c>
      <c r="N7" s="141">
        <v>136</v>
      </c>
      <c r="O7" s="142">
        <f>(M7+N7)*O2/60</f>
        <v>20.773333333333333</v>
      </c>
      <c r="P7" s="141">
        <v>38</v>
      </c>
      <c r="Q7" s="142">
        <f>P7*Q5/60</f>
        <v>1.2666666666666666</v>
      </c>
      <c r="R7" s="143">
        <v>32</v>
      </c>
      <c r="S7" s="144">
        <f>R7*R2</f>
        <v>66877.759999999995</v>
      </c>
      <c r="T7" s="145">
        <f>(R7+P7)*T5/60</f>
        <v>2.3333333333333335</v>
      </c>
      <c r="U7" s="143">
        <v>13</v>
      </c>
      <c r="V7" s="141">
        <f>U7*U2</f>
        <v>12251.199999999999</v>
      </c>
      <c r="W7" s="145">
        <f>U7*W5/60</f>
        <v>0.43333333333333335</v>
      </c>
      <c r="X7" s="143">
        <v>13</v>
      </c>
      <c r="Y7" s="144">
        <f>X7*X2</f>
        <v>11767.6</v>
      </c>
      <c r="Z7" s="145">
        <f>X7*Z5/60</f>
        <v>0.43333333333333335</v>
      </c>
      <c r="AA7" s="143">
        <v>13</v>
      </c>
      <c r="AB7" s="144">
        <f>AA7*AA2</f>
        <v>11765</v>
      </c>
      <c r="AC7" s="145">
        <f>AA7*AC5/60</f>
        <v>0.43333333333333335</v>
      </c>
      <c r="AD7" s="146">
        <v>3508</v>
      </c>
      <c r="AE7" s="141">
        <v>0.44169999999999998</v>
      </c>
      <c r="AF7" s="147">
        <f t="shared" si="0"/>
        <v>10.8463852</v>
      </c>
      <c r="AG7" s="148">
        <f t="shared" ref="AG7:AG22" si="21">0.1147*AD7*7/1000</f>
        <v>2.8165731999999997</v>
      </c>
      <c r="AH7" s="149">
        <f t="shared" si="1"/>
        <v>8.0298119999999997</v>
      </c>
      <c r="AI7" s="147">
        <f>AE7*AD7*365/1000</f>
        <v>565.56151399999999</v>
      </c>
      <c r="AJ7" s="150">
        <f t="shared" ref="AJ7:AJ22" si="22">0.1147*AD7*365/1000</f>
        <v>146.86417399999999</v>
      </c>
      <c r="AK7" s="151">
        <f t="shared" si="2"/>
        <v>418.69734</v>
      </c>
      <c r="AL7" s="152">
        <f t="shared" si="8"/>
        <v>143.53951225319997</v>
      </c>
      <c r="AM7" s="153">
        <f t="shared" si="9"/>
        <v>37.274127361199994</v>
      </c>
      <c r="AN7" s="154">
        <f t="shared" si="10"/>
        <v>106.26538489199999</v>
      </c>
      <c r="AO7" s="155"/>
      <c r="AP7" s="156">
        <f t="shared" ref="AP7:AP22" si="23">AN7+AK7</f>
        <v>524.96272489199998</v>
      </c>
      <c r="AQ7" s="179">
        <f t="shared" ref="AQ7:AQ22" si="24">AP7/52</f>
        <v>10.095437017153845</v>
      </c>
      <c r="AR7" s="155"/>
      <c r="AS7" s="155" t="s">
        <v>54</v>
      </c>
      <c r="AT7" s="155"/>
      <c r="AU7" s="162">
        <f t="shared" si="12"/>
        <v>59.155403999999997</v>
      </c>
      <c r="AV7" s="163">
        <f t="shared" si="13"/>
        <v>53.393513999999996</v>
      </c>
      <c r="AW7" s="164">
        <f t="shared" si="14"/>
        <v>34.315255999999998</v>
      </c>
      <c r="AX7" s="155"/>
      <c r="AY7" s="157">
        <f t="shared" si="15"/>
        <v>15.013641535199998</v>
      </c>
      <c r="AZ7" s="158">
        <f t="shared" si="16"/>
        <v>13.551273853199998</v>
      </c>
      <c r="BA7" s="159">
        <f t="shared" si="17"/>
        <v>8.7092119727999986</v>
      </c>
      <c r="BB7" s="155"/>
      <c r="BC7" s="157">
        <f t="shared" si="18"/>
        <v>74.169045535199999</v>
      </c>
      <c r="BD7" s="158">
        <f t="shared" si="19"/>
        <v>66.944787853199998</v>
      </c>
      <c r="BE7" s="159">
        <f t="shared" si="20"/>
        <v>43.024467972799997</v>
      </c>
      <c r="BG7" s="267" t="s">
        <v>54</v>
      </c>
      <c r="BH7" s="268"/>
      <c r="BI7" s="269"/>
    </row>
    <row r="8" spans="2:62" ht="15" customHeight="1" thickBot="1" x14ac:dyDescent="0.3">
      <c r="B8" s="38">
        <v>3</v>
      </c>
      <c r="C8" s="41" t="s">
        <v>21</v>
      </c>
      <c r="D8" s="39">
        <v>28</v>
      </c>
      <c r="E8" s="28">
        <f>D8*D2</f>
        <v>34887.160000000003</v>
      </c>
      <c r="F8" s="39">
        <v>18</v>
      </c>
      <c r="G8" s="39">
        <f>F8*F2</f>
        <v>51710.22</v>
      </c>
      <c r="H8" s="39"/>
      <c r="I8" s="39"/>
      <c r="J8" s="39"/>
      <c r="K8" s="39"/>
      <c r="L8" s="39"/>
      <c r="M8" s="39"/>
      <c r="N8" s="39"/>
      <c r="O8" s="114"/>
      <c r="P8" s="39"/>
      <c r="Q8" s="39"/>
      <c r="R8" s="40">
        <v>46</v>
      </c>
      <c r="S8" s="29">
        <f>R8*R2</f>
        <v>96136.78</v>
      </c>
      <c r="T8" s="113">
        <f>(R8+P8)*T5/60</f>
        <v>1.5333333333333334</v>
      </c>
      <c r="U8" s="40">
        <v>18</v>
      </c>
      <c r="V8" s="39">
        <f>U8*U2</f>
        <v>16963.2</v>
      </c>
      <c r="W8" s="113">
        <f>U8*W5/60</f>
        <v>0.6</v>
      </c>
      <c r="X8" s="40">
        <v>18</v>
      </c>
      <c r="Y8" s="29">
        <f>X8*X2</f>
        <v>16293.6</v>
      </c>
      <c r="Z8" s="113">
        <f>X8*Z5/60</f>
        <v>0.6</v>
      </c>
      <c r="AA8" s="40">
        <v>18</v>
      </c>
      <c r="AB8" s="29">
        <f>AA8*AA2</f>
        <v>16290</v>
      </c>
      <c r="AC8" s="113">
        <f>AA8*AC5/60</f>
        <v>0.6</v>
      </c>
      <c r="AD8" s="42">
        <v>3707</v>
      </c>
      <c r="AE8" s="43">
        <v>0.44169999999999998</v>
      </c>
      <c r="AF8" s="44">
        <f t="shared" si="0"/>
        <v>11.461673299999999</v>
      </c>
      <c r="AG8" s="45">
        <f t="shared" si="21"/>
        <v>2.9763503</v>
      </c>
      <c r="AH8" s="46">
        <f t="shared" si="1"/>
        <v>8.4853229999999993</v>
      </c>
      <c r="AI8" s="44">
        <f t="shared" ref="AI8:AI22" si="25">AE8*AD8*365/1000</f>
        <v>597.64439349999998</v>
      </c>
      <c r="AJ8" s="47">
        <f t="shared" si="22"/>
        <v>155.19540849999998</v>
      </c>
      <c r="AK8" s="74">
        <f t="shared" si="2"/>
        <v>442.44898499999999</v>
      </c>
      <c r="AL8" s="95">
        <f t="shared" si="8"/>
        <v>151.68214707029998</v>
      </c>
      <c r="AM8" s="92">
        <f t="shared" si="9"/>
        <v>39.388594677299992</v>
      </c>
      <c r="AN8" s="93">
        <f t="shared" si="10"/>
        <v>112.29355239299998</v>
      </c>
      <c r="AP8" s="109">
        <f t="shared" si="23"/>
        <v>554.74253739300002</v>
      </c>
      <c r="AQ8" s="180">
        <f t="shared" si="24"/>
        <v>10.668125719096155</v>
      </c>
      <c r="AR8">
        <v>7.85</v>
      </c>
      <c r="AS8" s="70">
        <f>AS4/AR8</f>
        <v>273.0726652198606</v>
      </c>
      <c r="AT8" t="s">
        <v>51</v>
      </c>
      <c r="AU8" s="162">
        <f t="shared" si="12"/>
        <v>62.511140999999995</v>
      </c>
      <c r="AV8" s="163">
        <f t="shared" si="13"/>
        <v>56.422393499999998</v>
      </c>
      <c r="AW8" s="164">
        <f t="shared" si="14"/>
        <v>36.261874000000006</v>
      </c>
      <c r="AY8" s="83">
        <f t="shared" si="15"/>
        <v>15.865327585799998</v>
      </c>
      <c r="AZ8" s="76">
        <f t="shared" si="16"/>
        <v>14.320003470299998</v>
      </c>
      <c r="BA8" s="79">
        <f t="shared" si="17"/>
        <v>9.2032636211999996</v>
      </c>
      <c r="BC8" s="83">
        <f t="shared" si="18"/>
        <v>78.376468585799998</v>
      </c>
      <c r="BD8" s="76">
        <f t="shared" si="19"/>
        <v>70.742396970299993</v>
      </c>
      <c r="BE8" s="79">
        <f t="shared" si="20"/>
        <v>45.465137621200007</v>
      </c>
      <c r="BG8" s="119" t="s">
        <v>37</v>
      </c>
      <c r="BH8" s="120" t="s">
        <v>38</v>
      </c>
      <c r="BI8" s="123" t="s">
        <v>39</v>
      </c>
    </row>
    <row r="9" spans="2:62" ht="15" customHeight="1" thickBot="1" x14ac:dyDescent="0.3">
      <c r="B9" s="38">
        <v>4</v>
      </c>
      <c r="C9" s="41" t="s">
        <v>22</v>
      </c>
      <c r="D9" s="39">
        <v>40</v>
      </c>
      <c r="E9" s="28">
        <f>D9*D2</f>
        <v>49838.8</v>
      </c>
      <c r="F9" s="39">
        <v>32</v>
      </c>
      <c r="G9" s="39">
        <f>F9*F2</f>
        <v>91929.279999999999</v>
      </c>
      <c r="H9" s="39"/>
      <c r="I9" s="39"/>
      <c r="J9" s="39"/>
      <c r="K9" s="39"/>
      <c r="L9" s="39"/>
      <c r="M9" s="39"/>
      <c r="N9" s="39"/>
      <c r="O9" s="114"/>
      <c r="P9" s="39"/>
      <c r="Q9" s="39"/>
      <c r="R9" s="40">
        <v>72</v>
      </c>
      <c r="S9" s="29">
        <f>R9*R2</f>
        <v>150474.96</v>
      </c>
      <c r="T9" s="113">
        <f>(R9+P9)*T5/60</f>
        <v>2.4</v>
      </c>
      <c r="U9" s="40">
        <v>32</v>
      </c>
      <c r="V9" s="39">
        <f>U9*U2</f>
        <v>30156.799999999999</v>
      </c>
      <c r="W9" s="113">
        <f>U9*W5/60</f>
        <v>1.0666666666666667</v>
      </c>
      <c r="X9" s="40">
        <v>32</v>
      </c>
      <c r="Y9" s="29">
        <f>X9*X2</f>
        <v>28966.400000000001</v>
      </c>
      <c r="Z9" s="113">
        <f>X9*Z5/60</f>
        <v>1.0666666666666667</v>
      </c>
      <c r="AA9" s="40">
        <v>32</v>
      </c>
      <c r="AB9" s="29">
        <f>AA9*AA2</f>
        <v>28960</v>
      </c>
      <c r="AC9" s="113">
        <f>AA9*AC5/60</f>
        <v>1.0666666666666667</v>
      </c>
      <c r="AD9" s="42">
        <v>7208</v>
      </c>
      <c r="AE9" s="43">
        <v>0.44169999999999998</v>
      </c>
      <c r="AF9" s="44">
        <f t="shared" si="0"/>
        <v>22.2864152</v>
      </c>
      <c r="AG9" s="45">
        <f t="shared" si="21"/>
        <v>5.7873032000000002</v>
      </c>
      <c r="AH9" s="46">
        <f t="shared" si="1"/>
        <v>16.499112</v>
      </c>
      <c r="AI9" s="44">
        <f t="shared" si="25"/>
        <v>1162.077364</v>
      </c>
      <c r="AJ9" s="47">
        <f t="shared" si="22"/>
        <v>301.76652400000006</v>
      </c>
      <c r="AK9" s="74">
        <f t="shared" si="2"/>
        <v>860.31083999999987</v>
      </c>
      <c r="AL9" s="95">
        <f t="shared" si="8"/>
        <v>294.93523498319996</v>
      </c>
      <c r="AM9" s="92">
        <f t="shared" si="9"/>
        <v>76.588343791200003</v>
      </c>
      <c r="AN9" s="93">
        <f t="shared" si="10"/>
        <v>218.34689119199993</v>
      </c>
      <c r="AP9" s="109">
        <f t="shared" si="23"/>
        <v>1078.6577311919998</v>
      </c>
      <c r="AQ9" s="180">
        <f t="shared" si="24"/>
        <v>20.743417907538458</v>
      </c>
      <c r="AR9">
        <v>7.36</v>
      </c>
      <c r="AS9" s="70">
        <f>AS5/AR9</f>
        <v>334.55894578422465</v>
      </c>
      <c r="AT9" t="s">
        <v>52</v>
      </c>
      <c r="AU9" s="162">
        <f t="shared" si="12"/>
        <v>121.54850399999998</v>
      </c>
      <c r="AV9" s="163">
        <f t="shared" si="13"/>
        <v>109.70936400000001</v>
      </c>
      <c r="AW9" s="164">
        <f t="shared" si="14"/>
        <v>70.508656000000002</v>
      </c>
      <c r="AY9" s="83">
        <f t="shared" si="15"/>
        <v>30.84901031519999</v>
      </c>
      <c r="AZ9" s="76">
        <f t="shared" si="16"/>
        <v>27.844236583199997</v>
      </c>
      <c r="BA9" s="79">
        <f t="shared" si="17"/>
        <v>17.895096892799998</v>
      </c>
      <c r="BC9" s="83">
        <f t="shared" si="18"/>
        <v>152.39751431519997</v>
      </c>
      <c r="BD9" s="76">
        <f t="shared" si="19"/>
        <v>137.55360058319999</v>
      </c>
      <c r="BE9" s="79">
        <f t="shared" si="20"/>
        <v>88.4037528928</v>
      </c>
      <c r="BG9" s="121">
        <v>2.7</v>
      </c>
      <c r="BH9" s="122">
        <v>2.7</v>
      </c>
      <c r="BI9" s="124">
        <v>7</v>
      </c>
    </row>
    <row r="10" spans="2:62" ht="15" customHeight="1" thickBot="1" x14ac:dyDescent="0.3">
      <c r="B10" s="38">
        <v>5</v>
      </c>
      <c r="C10" s="59" t="s">
        <v>23</v>
      </c>
      <c r="D10" s="39">
        <v>8</v>
      </c>
      <c r="E10" s="28">
        <f>D10*D2</f>
        <v>9967.76</v>
      </c>
      <c r="F10" s="39">
        <v>7</v>
      </c>
      <c r="G10" s="39">
        <f>F10*F2</f>
        <v>20109.53</v>
      </c>
      <c r="H10" s="39">
        <v>10</v>
      </c>
      <c r="I10" s="39"/>
      <c r="J10" s="39"/>
      <c r="K10" s="39"/>
      <c r="L10" s="39"/>
      <c r="M10" s="141">
        <v>900</v>
      </c>
      <c r="N10" s="141">
        <v>40</v>
      </c>
      <c r="O10" s="142">
        <f>(M10+N10)*O2/60</f>
        <v>12.533333333333333</v>
      </c>
      <c r="P10" s="141">
        <v>32</v>
      </c>
      <c r="Q10" s="142">
        <f>P10*Q5/60</f>
        <v>1.0666666666666667</v>
      </c>
      <c r="R10" s="143">
        <v>15</v>
      </c>
      <c r="S10" s="144">
        <f>R10*R2</f>
        <v>31348.949999999997</v>
      </c>
      <c r="T10" s="145">
        <f>(R10+P10)*T5/60</f>
        <v>1.5666666666666667</v>
      </c>
      <c r="U10" s="143">
        <v>7</v>
      </c>
      <c r="V10" s="141">
        <f>U10*U2</f>
        <v>6596.8</v>
      </c>
      <c r="W10" s="145">
        <f>U10*W5/60</f>
        <v>0.23333333333333334</v>
      </c>
      <c r="X10" s="143">
        <v>7</v>
      </c>
      <c r="Y10" s="144">
        <f>X10*X2</f>
        <v>6336.4000000000005</v>
      </c>
      <c r="Z10" s="145">
        <f>X10*Z5/60</f>
        <v>0.23333333333333334</v>
      </c>
      <c r="AA10" s="143">
        <v>7</v>
      </c>
      <c r="AB10" s="144">
        <f>AA10*AA2</f>
        <v>6335</v>
      </c>
      <c r="AC10" s="145">
        <f>AA10*AC5/60</f>
        <v>0.23333333333333334</v>
      </c>
      <c r="AD10" s="146">
        <v>1740</v>
      </c>
      <c r="AE10" s="141">
        <v>0.44169999999999998</v>
      </c>
      <c r="AF10" s="147">
        <f t="shared" si="0"/>
        <v>5.3799060000000001</v>
      </c>
      <c r="AG10" s="148">
        <f t="shared" si="21"/>
        <v>1.397046</v>
      </c>
      <c r="AH10" s="149">
        <f t="shared" si="1"/>
        <v>3.9828600000000001</v>
      </c>
      <c r="AI10" s="147">
        <f t="shared" si="25"/>
        <v>280.52366999999998</v>
      </c>
      <c r="AJ10" s="150">
        <f t="shared" si="22"/>
        <v>72.845969999999994</v>
      </c>
      <c r="AK10" s="151">
        <f t="shared" si="2"/>
        <v>207.67769999999999</v>
      </c>
      <c r="AL10" s="152">
        <f t="shared" si="8"/>
        <v>71.196907445999983</v>
      </c>
      <c r="AM10" s="153">
        <f t="shared" si="9"/>
        <v>18.488307185999997</v>
      </c>
      <c r="AN10" s="154">
        <f t="shared" si="10"/>
        <v>52.70860025999999</v>
      </c>
      <c r="AO10" s="155"/>
      <c r="AP10" s="156">
        <f t="shared" si="23"/>
        <v>260.38630025999998</v>
      </c>
      <c r="AQ10" s="181">
        <f t="shared" si="24"/>
        <v>5.0074288511538461</v>
      </c>
      <c r="AR10" s="155"/>
      <c r="AS10" s="155"/>
      <c r="AT10" s="155"/>
      <c r="AU10" s="162">
        <f t="shared" si="12"/>
        <v>29.341619999999995</v>
      </c>
      <c r="AV10" s="163">
        <f t="shared" si="13"/>
        <v>26.483669999999996</v>
      </c>
      <c r="AW10" s="164">
        <f t="shared" si="14"/>
        <v>17.020679999999999</v>
      </c>
      <c r="AX10" s="155"/>
      <c r="AY10" s="157">
        <f t="shared" si="15"/>
        <v>7.4469031559999976</v>
      </c>
      <c r="AZ10" s="158">
        <f t="shared" si="16"/>
        <v>6.7215554459999982</v>
      </c>
      <c r="BA10" s="159">
        <f t="shared" si="17"/>
        <v>4.3198485839999989</v>
      </c>
      <c r="BB10" s="155"/>
      <c r="BC10" s="157">
        <f t="shared" si="18"/>
        <v>36.788523155999997</v>
      </c>
      <c r="BD10" s="158">
        <f t="shared" si="19"/>
        <v>33.205225445999993</v>
      </c>
      <c r="BE10" s="159">
        <f t="shared" si="20"/>
        <v>21.340528583999998</v>
      </c>
      <c r="BG10" s="104">
        <f>BG4/BG9</f>
        <v>228.82105941119531</v>
      </c>
      <c r="BH10" s="77">
        <f t="shared" ref="BH10:BI10" si="26">BH4/BH9</f>
        <v>185.94287890891732</v>
      </c>
      <c r="BI10" s="78">
        <f t="shared" si="26"/>
        <v>46.27662969868112</v>
      </c>
      <c r="BJ10" t="s">
        <v>51</v>
      </c>
    </row>
    <row r="11" spans="2:62" ht="15" customHeight="1" thickBot="1" x14ac:dyDescent="0.3">
      <c r="B11" s="38">
        <v>6</v>
      </c>
      <c r="C11" s="59" t="s">
        <v>24</v>
      </c>
      <c r="D11" s="39">
        <v>10</v>
      </c>
      <c r="E11" s="28">
        <f>D11*D2</f>
        <v>12459.7</v>
      </c>
      <c r="F11" s="39">
        <v>7</v>
      </c>
      <c r="G11" s="39">
        <f>F11*F2</f>
        <v>20109.53</v>
      </c>
      <c r="H11" s="39"/>
      <c r="I11" s="39"/>
      <c r="J11" s="39"/>
      <c r="K11" s="39"/>
      <c r="L11" s="39"/>
      <c r="M11" s="141">
        <v>7</v>
      </c>
      <c r="N11" s="141">
        <v>2</v>
      </c>
      <c r="O11" s="142">
        <f>(M11+N11)*O2/60</f>
        <v>0.12000000000000001</v>
      </c>
      <c r="P11" s="141">
        <v>32</v>
      </c>
      <c r="Q11" s="142">
        <f>P11*Q5/60</f>
        <v>1.0666666666666667</v>
      </c>
      <c r="R11" s="143">
        <v>17</v>
      </c>
      <c r="S11" s="144">
        <f>R11*R2</f>
        <v>35528.81</v>
      </c>
      <c r="T11" s="145">
        <f>(R11+P11)*T5/60</f>
        <v>1.6333333333333333</v>
      </c>
      <c r="U11" s="143">
        <v>7</v>
      </c>
      <c r="V11" s="141">
        <f>U11*U2</f>
        <v>6596.8</v>
      </c>
      <c r="W11" s="145">
        <f>U11*W5/60</f>
        <v>0.23333333333333334</v>
      </c>
      <c r="X11" s="143">
        <v>7</v>
      </c>
      <c r="Y11" s="144">
        <f>X11*X2</f>
        <v>6336.4000000000005</v>
      </c>
      <c r="Z11" s="145">
        <f>X11*Z5/60</f>
        <v>0.23333333333333334</v>
      </c>
      <c r="AA11" s="143">
        <v>7</v>
      </c>
      <c r="AB11" s="144">
        <f>AA11*AA2</f>
        <v>6335</v>
      </c>
      <c r="AC11" s="145">
        <f>AA11*AC5/60</f>
        <v>0.23333333333333334</v>
      </c>
      <c r="AD11" s="146">
        <v>4473</v>
      </c>
      <c r="AE11" s="141">
        <v>0.44169999999999998</v>
      </c>
      <c r="AF11" s="147">
        <f t="shared" si="0"/>
        <v>13.8300687</v>
      </c>
      <c r="AG11" s="148">
        <f t="shared" si="21"/>
        <v>3.5913716999999998</v>
      </c>
      <c r="AH11" s="149">
        <f t="shared" si="1"/>
        <v>10.238697</v>
      </c>
      <c r="AI11" s="147">
        <f t="shared" si="25"/>
        <v>721.13929649999989</v>
      </c>
      <c r="AJ11" s="150">
        <f t="shared" si="22"/>
        <v>187.26438149999998</v>
      </c>
      <c r="AK11" s="151">
        <f t="shared" si="2"/>
        <v>533.87491499999987</v>
      </c>
      <c r="AL11" s="152">
        <f t="shared" si="8"/>
        <v>183.02515345169994</v>
      </c>
      <c r="AM11" s="153">
        <f t="shared" si="9"/>
        <v>47.527700024699989</v>
      </c>
      <c r="AN11" s="154">
        <f t="shared" si="10"/>
        <v>135.49745342699995</v>
      </c>
      <c r="AO11" s="155"/>
      <c r="AP11" s="156">
        <f t="shared" si="23"/>
        <v>669.37236842699986</v>
      </c>
      <c r="AQ11" s="181">
        <f t="shared" si="24"/>
        <v>12.872545546673074</v>
      </c>
      <c r="AR11" s="155"/>
      <c r="AS11" s="155"/>
      <c r="AT11" s="155"/>
      <c r="AU11" s="162">
        <f t="shared" si="12"/>
        <v>75.428198999999992</v>
      </c>
      <c r="AV11" s="163">
        <f t="shared" si="13"/>
        <v>68.081296499999993</v>
      </c>
      <c r="AW11" s="164">
        <f t="shared" si="14"/>
        <v>43.754885999999999</v>
      </c>
      <c r="AX11" s="155"/>
      <c r="AY11" s="157">
        <f t="shared" si="15"/>
        <v>19.143676906199996</v>
      </c>
      <c r="AZ11" s="158">
        <f t="shared" si="16"/>
        <v>17.279033051699997</v>
      </c>
      <c r="BA11" s="159">
        <f t="shared" si="17"/>
        <v>11.104990066799999</v>
      </c>
      <c r="BB11" s="155"/>
      <c r="BC11" s="157">
        <f t="shared" si="18"/>
        <v>94.571875906199992</v>
      </c>
      <c r="BD11" s="158">
        <f t="shared" si="19"/>
        <v>85.360329551699991</v>
      </c>
      <c r="BE11" s="159">
        <f t="shared" si="20"/>
        <v>54.859876066799998</v>
      </c>
      <c r="BG11" s="115">
        <f>BG5/BG9</f>
        <v>262.84430245213798</v>
      </c>
      <c r="BH11" s="116">
        <f t="shared" ref="BH11:BI11" si="27">BH5/BH9</f>
        <v>213.59059532597163</v>
      </c>
      <c r="BI11" s="117">
        <f t="shared" si="27"/>
        <v>53.157469353061728</v>
      </c>
      <c r="BJ11" t="s">
        <v>52</v>
      </c>
    </row>
    <row r="12" spans="2:62" ht="15" customHeight="1" thickBot="1" x14ac:dyDescent="0.3">
      <c r="B12" s="38">
        <v>7</v>
      </c>
      <c r="C12" s="59" t="s">
        <v>25</v>
      </c>
      <c r="D12" s="39">
        <v>8</v>
      </c>
      <c r="E12" s="28">
        <f>D12*D2</f>
        <v>9967.76</v>
      </c>
      <c r="F12" s="39">
        <v>5</v>
      </c>
      <c r="G12" s="39">
        <f>F12*F2</f>
        <v>14363.95</v>
      </c>
      <c r="H12" s="39"/>
      <c r="I12" s="39"/>
      <c r="J12" s="39"/>
      <c r="K12" s="39"/>
      <c r="L12" s="39"/>
      <c r="M12" s="141">
        <v>609</v>
      </c>
      <c r="N12" s="141">
        <v>50</v>
      </c>
      <c r="O12" s="142">
        <f>(M12+N12)*O2/60</f>
        <v>8.7866666666666671</v>
      </c>
      <c r="P12" s="141">
        <v>32</v>
      </c>
      <c r="Q12" s="142">
        <f>P12*Q5/60</f>
        <v>1.0666666666666667</v>
      </c>
      <c r="R12" s="143">
        <v>13</v>
      </c>
      <c r="S12" s="144">
        <f>R12*R2</f>
        <v>27169.089999999997</v>
      </c>
      <c r="T12" s="145">
        <f>(R12+P12)*T5/60</f>
        <v>1.5</v>
      </c>
      <c r="U12" s="143">
        <v>5</v>
      </c>
      <c r="V12" s="141">
        <f>U12*U2</f>
        <v>4712</v>
      </c>
      <c r="W12" s="145">
        <f>U12*W5/60</f>
        <v>0.16666666666666666</v>
      </c>
      <c r="X12" s="143">
        <v>5</v>
      </c>
      <c r="Y12" s="144">
        <f>X12*X2</f>
        <v>4526</v>
      </c>
      <c r="Z12" s="145">
        <f>X12*Z5/60</f>
        <v>0.16666666666666666</v>
      </c>
      <c r="AA12" s="143">
        <v>5</v>
      </c>
      <c r="AB12" s="144">
        <f>AA12*AA2</f>
        <v>4525</v>
      </c>
      <c r="AC12" s="145">
        <f>AA12*AC5/60</f>
        <v>0.16666666666666666</v>
      </c>
      <c r="AD12" s="146">
        <v>1568</v>
      </c>
      <c r="AE12" s="141">
        <v>0.44169999999999998</v>
      </c>
      <c r="AF12" s="147">
        <f t="shared" si="0"/>
        <v>4.8480992000000001</v>
      </c>
      <c r="AG12" s="148">
        <f t="shared" si="21"/>
        <v>1.2589471999999999</v>
      </c>
      <c r="AH12" s="149">
        <f t="shared" si="1"/>
        <v>3.5891520000000003</v>
      </c>
      <c r="AI12" s="147">
        <f t="shared" si="25"/>
        <v>252.793744</v>
      </c>
      <c r="AJ12" s="150">
        <f t="shared" si="22"/>
        <v>65.645103999999989</v>
      </c>
      <c r="AK12" s="151">
        <f t="shared" si="2"/>
        <v>187.14864</v>
      </c>
      <c r="AL12" s="152">
        <f t="shared" si="8"/>
        <v>64.159052227199993</v>
      </c>
      <c r="AM12" s="153">
        <f t="shared" si="9"/>
        <v>16.660727395199995</v>
      </c>
      <c r="AN12" s="154">
        <f t="shared" si="10"/>
        <v>47.498324831999994</v>
      </c>
      <c r="AO12" s="155"/>
      <c r="AP12" s="156">
        <f t="shared" si="23"/>
        <v>234.64696483199998</v>
      </c>
      <c r="AQ12" s="181">
        <f t="shared" si="24"/>
        <v>4.5124416313846147</v>
      </c>
      <c r="AR12" s="155"/>
      <c r="AS12" s="155"/>
      <c r="AT12" s="155"/>
      <c r="AU12" s="162">
        <f t="shared" si="12"/>
        <v>26.441183999999996</v>
      </c>
      <c r="AV12" s="163">
        <f t="shared" si="13"/>
        <v>23.865743999999999</v>
      </c>
      <c r="AW12" s="164">
        <f t="shared" si="14"/>
        <v>15.338176000000001</v>
      </c>
      <c r="AX12" s="155"/>
      <c r="AY12" s="157">
        <f t="shared" si="15"/>
        <v>6.7107724991999982</v>
      </c>
      <c r="AZ12" s="158">
        <f t="shared" si="16"/>
        <v>6.0571258271999993</v>
      </c>
      <c r="BA12" s="159">
        <f t="shared" si="17"/>
        <v>3.8928290687999998</v>
      </c>
      <c r="BB12" s="155"/>
      <c r="BC12" s="157">
        <f t="shared" si="18"/>
        <v>33.151956499199997</v>
      </c>
      <c r="BD12" s="158">
        <f t="shared" si="19"/>
        <v>29.9228698272</v>
      </c>
      <c r="BE12" s="159">
        <f t="shared" si="20"/>
        <v>19.231005068800002</v>
      </c>
    </row>
    <row r="13" spans="2:62" ht="15" customHeight="1" thickBot="1" x14ac:dyDescent="0.3">
      <c r="B13" s="38">
        <v>8</v>
      </c>
      <c r="C13" s="59" t="s">
        <v>26</v>
      </c>
      <c r="D13" s="39">
        <v>10</v>
      </c>
      <c r="E13" s="28">
        <f>D13*D2</f>
        <v>12459.7</v>
      </c>
      <c r="F13" s="39">
        <v>6</v>
      </c>
      <c r="G13" s="39">
        <f>F13*F2</f>
        <v>17236.739999999998</v>
      </c>
      <c r="H13" s="39"/>
      <c r="I13" s="39"/>
      <c r="J13" s="39"/>
      <c r="K13" s="39"/>
      <c r="L13" s="39"/>
      <c r="M13" s="141">
        <v>792</v>
      </c>
      <c r="N13" s="141">
        <v>138</v>
      </c>
      <c r="O13" s="141">
        <f>(M13+N13)*O2/60</f>
        <v>12.4</v>
      </c>
      <c r="P13" s="141">
        <v>49</v>
      </c>
      <c r="Q13" s="142">
        <f>P13*Q5/60</f>
        <v>1.6333333333333333</v>
      </c>
      <c r="R13" s="143">
        <v>16</v>
      </c>
      <c r="S13" s="144">
        <f>R13*R2</f>
        <v>33438.879999999997</v>
      </c>
      <c r="T13" s="145">
        <f>(R13+P13)*T5/60</f>
        <v>2.1666666666666665</v>
      </c>
      <c r="U13" s="143">
        <v>6</v>
      </c>
      <c r="V13" s="141">
        <f>U13*U2</f>
        <v>5654.4</v>
      </c>
      <c r="W13" s="145">
        <f>U13*W5/60</f>
        <v>0.2</v>
      </c>
      <c r="X13" s="143">
        <v>6</v>
      </c>
      <c r="Y13" s="144">
        <f>X13*X2</f>
        <v>5431.2000000000007</v>
      </c>
      <c r="Z13" s="145">
        <f>X13*Z5/60</f>
        <v>0.2</v>
      </c>
      <c r="AA13" s="143">
        <v>6</v>
      </c>
      <c r="AB13" s="144">
        <f>AA13*AA2</f>
        <v>5430</v>
      </c>
      <c r="AC13" s="145">
        <f>AA13*AC5/60</f>
        <v>0.2</v>
      </c>
      <c r="AD13" s="146">
        <v>2965</v>
      </c>
      <c r="AE13" s="141">
        <v>0.44169999999999998</v>
      </c>
      <c r="AF13" s="147">
        <f t="shared" si="0"/>
        <v>9.1674834999999995</v>
      </c>
      <c r="AG13" s="148">
        <f t="shared" si="21"/>
        <v>2.3805984999999996</v>
      </c>
      <c r="AH13" s="149">
        <f t="shared" si="1"/>
        <v>6.7868849999999998</v>
      </c>
      <c r="AI13" s="147">
        <f t="shared" si="25"/>
        <v>478.01878249999999</v>
      </c>
      <c r="AJ13" s="150">
        <f t="shared" si="22"/>
        <v>124.13120749999999</v>
      </c>
      <c r="AK13" s="151">
        <f t="shared" si="2"/>
        <v>353.88757499999997</v>
      </c>
      <c r="AL13" s="152">
        <f t="shared" si="8"/>
        <v>121.32116699849998</v>
      </c>
      <c r="AM13" s="153">
        <f t="shared" si="9"/>
        <v>31.504500463499994</v>
      </c>
      <c r="AN13" s="154">
        <f t="shared" si="10"/>
        <v>89.816666534999982</v>
      </c>
      <c r="AO13" s="155"/>
      <c r="AP13" s="156">
        <f t="shared" si="23"/>
        <v>443.70424153499994</v>
      </c>
      <c r="AQ13" s="181">
        <f t="shared" si="24"/>
        <v>8.532773875673076</v>
      </c>
      <c r="AR13" s="155"/>
      <c r="AS13" s="155"/>
      <c r="AT13" s="155"/>
      <c r="AU13" s="162">
        <f t="shared" si="12"/>
        <v>49.998795000000001</v>
      </c>
      <c r="AV13" s="163">
        <f t="shared" si="13"/>
        <v>45.1287825</v>
      </c>
      <c r="AW13" s="164">
        <f t="shared" si="14"/>
        <v>29.003630000000001</v>
      </c>
      <c r="AX13" s="155"/>
      <c r="AY13" s="157">
        <f t="shared" si="15"/>
        <v>12.689694170999999</v>
      </c>
      <c r="AZ13" s="158">
        <f t="shared" si="16"/>
        <v>11.453684998499998</v>
      </c>
      <c r="BA13" s="159">
        <f t="shared" si="17"/>
        <v>7.3611212939999993</v>
      </c>
      <c r="BB13" s="155"/>
      <c r="BC13" s="157">
        <f t="shared" si="18"/>
        <v>62.688489171000001</v>
      </c>
      <c r="BD13" s="158">
        <f t="shared" si="19"/>
        <v>56.582467498499994</v>
      </c>
      <c r="BE13" s="159">
        <f t="shared" si="20"/>
        <v>36.364751294000001</v>
      </c>
    </row>
    <row r="14" spans="2:62" ht="15" customHeight="1" thickBot="1" x14ac:dyDescent="0.3">
      <c r="B14" s="38">
        <v>9</v>
      </c>
      <c r="C14" s="59" t="s">
        <v>27</v>
      </c>
      <c r="D14" s="39">
        <v>30</v>
      </c>
      <c r="E14" s="28">
        <f>D14*D2</f>
        <v>37379.1</v>
      </c>
      <c r="F14" s="39">
        <v>23</v>
      </c>
      <c r="G14" s="39">
        <f>F14*F2</f>
        <v>66074.17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>
        <v>53</v>
      </c>
      <c r="S14" s="29">
        <f>R14*R2</f>
        <v>110766.29</v>
      </c>
      <c r="T14" s="113">
        <f>(R14+P14)*T5/60</f>
        <v>1.7666666666666666</v>
      </c>
      <c r="U14" s="40">
        <v>23</v>
      </c>
      <c r="V14" s="39">
        <f>U14*U2</f>
        <v>21675.200000000001</v>
      </c>
      <c r="W14" s="113">
        <f>U14*W5/60</f>
        <v>0.76666666666666672</v>
      </c>
      <c r="X14" s="40">
        <v>23</v>
      </c>
      <c r="Y14" s="29">
        <f>X14*X2</f>
        <v>20819.600000000002</v>
      </c>
      <c r="Z14" s="113">
        <f>X14*Z5/60</f>
        <v>0.76666666666666672</v>
      </c>
      <c r="AA14" s="40">
        <v>23</v>
      </c>
      <c r="AB14" s="29">
        <f>AA14*AA2</f>
        <v>20815</v>
      </c>
      <c r="AC14" s="113">
        <f>AA14*AC5/60</f>
        <v>0.76666666666666672</v>
      </c>
      <c r="AD14" s="42">
        <v>7087</v>
      </c>
      <c r="AE14" s="43">
        <v>0.44169999999999998</v>
      </c>
      <c r="AF14" s="44">
        <f t="shared" si="0"/>
        <v>21.912295299999997</v>
      </c>
      <c r="AG14" s="45">
        <f t="shared" si="21"/>
        <v>5.6901522999999994</v>
      </c>
      <c r="AH14" s="46">
        <f t="shared" si="1"/>
        <v>16.222142999999996</v>
      </c>
      <c r="AI14" s="44">
        <f t="shared" si="25"/>
        <v>1142.5696834999999</v>
      </c>
      <c r="AJ14" s="47">
        <f t="shared" si="22"/>
        <v>296.70079849999996</v>
      </c>
      <c r="AK14" s="74">
        <f t="shared" si="2"/>
        <v>845.86888499999986</v>
      </c>
      <c r="AL14" s="95">
        <f t="shared" si="8"/>
        <v>289.98418567229993</v>
      </c>
      <c r="AM14" s="92">
        <f t="shared" si="9"/>
        <v>75.302662659299983</v>
      </c>
      <c r="AN14" s="93">
        <f t="shared" si="10"/>
        <v>214.68152301299995</v>
      </c>
      <c r="AP14" s="109">
        <f t="shared" si="23"/>
        <v>1060.5504080129999</v>
      </c>
      <c r="AQ14" s="182">
        <f t="shared" si="24"/>
        <v>20.395200154096152</v>
      </c>
      <c r="AU14" s="162">
        <f t="shared" si="12"/>
        <v>119.508081</v>
      </c>
      <c r="AV14" s="163">
        <f t="shared" si="13"/>
        <v>107.8676835</v>
      </c>
      <c r="AW14" s="164">
        <f t="shared" si="14"/>
        <v>69.325034000000002</v>
      </c>
      <c r="AY14" s="83">
        <f t="shared" si="15"/>
        <v>30.331150957799998</v>
      </c>
      <c r="AZ14" s="76">
        <f t="shared" si="16"/>
        <v>27.376818072299997</v>
      </c>
      <c r="BA14" s="79">
        <f t="shared" si="17"/>
        <v>17.594693629199998</v>
      </c>
      <c r="BC14" s="83">
        <f t="shared" si="18"/>
        <v>149.8392319578</v>
      </c>
      <c r="BD14" s="76">
        <f t="shared" si="19"/>
        <v>135.24450157230001</v>
      </c>
      <c r="BE14" s="79">
        <f t="shared" si="20"/>
        <v>86.919727629199997</v>
      </c>
      <c r="BG14" s="267" t="s">
        <v>54</v>
      </c>
      <c r="BH14" s="268"/>
      <c r="BI14" s="269"/>
    </row>
    <row r="15" spans="2:62" ht="15" customHeight="1" thickBot="1" x14ac:dyDescent="0.3">
      <c r="B15" s="38">
        <v>10</v>
      </c>
      <c r="C15" s="59" t="s">
        <v>28</v>
      </c>
      <c r="D15" s="39">
        <v>24</v>
      </c>
      <c r="E15" s="28">
        <f>D15*D2</f>
        <v>29903.279999999999</v>
      </c>
      <c r="F15" s="39">
        <v>16</v>
      </c>
      <c r="G15" s="39">
        <f>F15*F2</f>
        <v>45964.639999999999</v>
      </c>
      <c r="H15" s="39">
        <v>14</v>
      </c>
      <c r="I15" s="39"/>
      <c r="J15" s="39"/>
      <c r="K15" s="39"/>
      <c r="L15" s="39"/>
      <c r="M15" s="39"/>
      <c r="N15" s="39"/>
      <c r="O15" s="39"/>
      <c r="P15" s="39"/>
      <c r="Q15" s="39"/>
      <c r="R15" s="40">
        <v>40</v>
      </c>
      <c r="S15" s="29">
        <f>R15*R2</f>
        <v>83597.2</v>
      </c>
      <c r="T15" s="113">
        <f>(R15+P15)*T5/60</f>
        <v>1.3333333333333333</v>
      </c>
      <c r="U15" s="40">
        <v>16</v>
      </c>
      <c r="V15" s="39">
        <f>U15*U2</f>
        <v>15078.4</v>
      </c>
      <c r="W15" s="113">
        <f>U15*W5/60</f>
        <v>0.53333333333333333</v>
      </c>
      <c r="X15" s="40">
        <v>16</v>
      </c>
      <c r="Y15" s="29">
        <f>X15*X2</f>
        <v>14483.2</v>
      </c>
      <c r="Z15" s="113">
        <f>X15*Z5/60</f>
        <v>0.53333333333333333</v>
      </c>
      <c r="AA15" s="40">
        <v>16</v>
      </c>
      <c r="AB15" s="29">
        <f>AA15*AA2</f>
        <v>14480</v>
      </c>
      <c r="AC15" s="113">
        <f>AA15*AC5/60</f>
        <v>0.53333333333333333</v>
      </c>
      <c r="AD15" s="42">
        <v>2865</v>
      </c>
      <c r="AE15" s="43">
        <v>0.44169999999999998</v>
      </c>
      <c r="AF15" s="44">
        <f t="shared" si="0"/>
        <v>8.8582935000000003</v>
      </c>
      <c r="AG15" s="45">
        <f t="shared" si="21"/>
        <v>2.3003085000000003</v>
      </c>
      <c r="AH15" s="46">
        <f t="shared" si="1"/>
        <v>6.5579850000000004</v>
      </c>
      <c r="AI15" s="44">
        <f t="shared" si="25"/>
        <v>461.89673249999998</v>
      </c>
      <c r="AJ15" s="47">
        <f t="shared" si="22"/>
        <v>119.94465750000001</v>
      </c>
      <c r="AK15" s="74">
        <f t="shared" si="2"/>
        <v>341.95207499999998</v>
      </c>
      <c r="AL15" s="95">
        <f t="shared" si="8"/>
        <v>117.22939070849998</v>
      </c>
      <c r="AM15" s="92">
        <f t="shared" si="9"/>
        <v>30.441954073499996</v>
      </c>
      <c r="AN15" s="93">
        <f t="shared" si="10"/>
        <v>86.787436634999978</v>
      </c>
      <c r="AP15" s="109">
        <f t="shared" si="23"/>
        <v>428.73951163499999</v>
      </c>
      <c r="AQ15" s="182">
        <f t="shared" si="24"/>
        <v>8.2449906083653843</v>
      </c>
      <c r="AU15" s="162">
        <f t="shared" si="12"/>
        <v>48.312495000000006</v>
      </c>
      <c r="AV15" s="163">
        <f t="shared" si="13"/>
        <v>43.6067325</v>
      </c>
      <c r="AW15" s="164">
        <f t="shared" si="14"/>
        <v>28.02543</v>
      </c>
      <c r="AY15" s="83">
        <f t="shared" si="15"/>
        <v>12.261711231</v>
      </c>
      <c r="AZ15" s="76">
        <f t="shared" si="16"/>
        <v>11.067388708499999</v>
      </c>
      <c r="BA15" s="79">
        <f t="shared" si="17"/>
        <v>7.1128541339999991</v>
      </c>
      <c r="BC15" s="83">
        <f t="shared" si="18"/>
        <v>60.574206231000005</v>
      </c>
      <c r="BD15" s="76">
        <f t="shared" si="19"/>
        <v>54.674121208499997</v>
      </c>
      <c r="BE15" s="79">
        <f t="shared" si="20"/>
        <v>35.138284134000003</v>
      </c>
      <c r="BG15" s="119" t="s">
        <v>37</v>
      </c>
      <c r="BH15" s="120" t="s">
        <v>38</v>
      </c>
      <c r="BI15" s="123" t="s">
        <v>39</v>
      </c>
    </row>
    <row r="16" spans="2:62" ht="15" customHeight="1" thickBot="1" x14ac:dyDescent="0.3">
      <c r="B16" s="38">
        <v>11</v>
      </c>
      <c r="C16" s="59" t="s">
        <v>29</v>
      </c>
      <c r="D16" s="39">
        <v>25</v>
      </c>
      <c r="E16" s="28">
        <f>D16*D2</f>
        <v>31149.25</v>
      </c>
      <c r="F16" s="39">
        <v>17</v>
      </c>
      <c r="G16" s="39">
        <f>F16*F2</f>
        <v>48837.43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>
        <v>42</v>
      </c>
      <c r="S16" s="29">
        <f>R16*R2</f>
        <v>87777.06</v>
      </c>
      <c r="T16" s="113">
        <f>(R16+P16)*T5/60</f>
        <v>1.4</v>
      </c>
      <c r="U16" s="40">
        <v>17</v>
      </c>
      <c r="V16" s="39">
        <f>U16*U2</f>
        <v>16020.8</v>
      </c>
      <c r="W16" s="113">
        <f>U16*W5/60</f>
        <v>0.56666666666666665</v>
      </c>
      <c r="X16" s="40">
        <v>17</v>
      </c>
      <c r="Y16" s="29">
        <f>X16*X2</f>
        <v>15388.400000000001</v>
      </c>
      <c r="Z16" s="113">
        <f>X16*Z5/60</f>
        <v>0.56666666666666665</v>
      </c>
      <c r="AA16" s="40">
        <v>17</v>
      </c>
      <c r="AB16" s="29">
        <f>AA16*AA2</f>
        <v>15385</v>
      </c>
      <c r="AC16" s="113">
        <f>AA16*AC5/60</f>
        <v>0.56666666666666665</v>
      </c>
      <c r="AD16" s="42">
        <v>3303</v>
      </c>
      <c r="AE16" s="43">
        <v>0.44169999999999998</v>
      </c>
      <c r="AF16" s="44">
        <f t="shared" si="0"/>
        <v>10.212545699999998</v>
      </c>
      <c r="AG16" s="57">
        <f t="shared" si="21"/>
        <v>2.6519786999999995</v>
      </c>
      <c r="AH16" s="46">
        <f t="shared" si="1"/>
        <v>7.5605669999999989</v>
      </c>
      <c r="AI16" s="44">
        <f t="shared" si="25"/>
        <v>532.51131149999992</v>
      </c>
      <c r="AJ16" s="58">
        <f t="shared" si="22"/>
        <v>138.28174649999997</v>
      </c>
      <c r="AK16" s="74">
        <f t="shared" si="2"/>
        <v>394.22956499999998</v>
      </c>
      <c r="AL16" s="95">
        <f t="shared" si="8"/>
        <v>135.15137085869998</v>
      </c>
      <c r="AM16" s="92">
        <f t="shared" si="9"/>
        <v>35.095907261699985</v>
      </c>
      <c r="AN16" s="93">
        <f t="shared" si="10"/>
        <v>100.05546359699999</v>
      </c>
      <c r="AP16" s="109">
        <f t="shared" si="23"/>
        <v>494.28502859699995</v>
      </c>
      <c r="AQ16" s="183">
        <f t="shared" si="24"/>
        <v>9.5054813191730751</v>
      </c>
      <c r="AU16" s="162">
        <f t="shared" si="12"/>
        <v>55.698489000000002</v>
      </c>
      <c r="AV16" s="163">
        <f t="shared" si="13"/>
        <v>50.273311499999998</v>
      </c>
      <c r="AW16" s="164">
        <f t="shared" si="14"/>
        <v>32.309946000000004</v>
      </c>
      <c r="AY16" s="83">
        <f t="shared" si="15"/>
        <v>14.136276508199998</v>
      </c>
      <c r="AZ16" s="76">
        <f t="shared" si="16"/>
        <v>12.759366458699999</v>
      </c>
      <c r="BA16" s="79">
        <f t="shared" si="17"/>
        <v>8.2002642948000002</v>
      </c>
      <c r="BC16" s="83">
        <f t="shared" si="18"/>
        <v>69.834765508200007</v>
      </c>
      <c r="BD16" s="76">
        <f t="shared" si="19"/>
        <v>63.032677958699999</v>
      </c>
      <c r="BE16" s="79">
        <f t="shared" si="20"/>
        <v>40.510210294800004</v>
      </c>
      <c r="BG16" s="121">
        <v>2.7</v>
      </c>
      <c r="BH16" s="122">
        <v>2.7</v>
      </c>
      <c r="BI16" s="124">
        <v>7</v>
      </c>
    </row>
    <row r="17" spans="2:61" ht="15" customHeight="1" thickBot="1" x14ac:dyDescent="0.3">
      <c r="B17" s="38">
        <v>12</v>
      </c>
      <c r="C17" s="59" t="s">
        <v>30</v>
      </c>
      <c r="D17" s="39">
        <v>24</v>
      </c>
      <c r="E17" s="28">
        <f>D17*D2</f>
        <v>29903.279999999999</v>
      </c>
      <c r="F17" s="39">
        <v>16</v>
      </c>
      <c r="G17" s="39">
        <f>F17*F2</f>
        <v>45964.639999999999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>
        <v>40</v>
      </c>
      <c r="S17" s="29">
        <f>R17*R2</f>
        <v>83597.2</v>
      </c>
      <c r="T17" s="113">
        <f>(R17+P17)*T5/60</f>
        <v>1.3333333333333333</v>
      </c>
      <c r="U17" s="40">
        <v>16</v>
      </c>
      <c r="V17" s="39">
        <f>U17*U2</f>
        <v>15078.4</v>
      </c>
      <c r="W17" s="113">
        <f>U17*W5/60</f>
        <v>0.53333333333333333</v>
      </c>
      <c r="X17" s="40">
        <v>16</v>
      </c>
      <c r="Y17" s="29">
        <f>X17*X2</f>
        <v>14483.2</v>
      </c>
      <c r="Z17" s="113">
        <f>X17*Z5/60</f>
        <v>0.53333333333333333</v>
      </c>
      <c r="AA17" s="40">
        <v>16</v>
      </c>
      <c r="AB17" s="29">
        <f>AA17*AA2</f>
        <v>14480</v>
      </c>
      <c r="AC17" s="113">
        <f>AA17*AC5/60</f>
        <v>0.53333333333333333</v>
      </c>
      <c r="AD17" s="42">
        <v>3257</v>
      </c>
      <c r="AE17" s="43">
        <v>0.44169999999999998</v>
      </c>
      <c r="AF17" s="44">
        <f t="shared" si="0"/>
        <v>10.070318299999999</v>
      </c>
      <c r="AG17" s="57">
        <f t="shared" si="21"/>
        <v>2.6150452999999998</v>
      </c>
      <c r="AH17" s="46">
        <f t="shared" si="1"/>
        <v>7.4552729999999983</v>
      </c>
      <c r="AI17" s="44">
        <f t="shared" si="25"/>
        <v>525.0951685</v>
      </c>
      <c r="AJ17" s="58">
        <f t="shared" si="22"/>
        <v>136.35593350000002</v>
      </c>
      <c r="AK17" s="74">
        <f t="shared" si="2"/>
        <v>388.73923500000001</v>
      </c>
      <c r="AL17" s="95">
        <f t="shared" si="8"/>
        <v>133.26915376529999</v>
      </c>
      <c r="AM17" s="92">
        <f t="shared" si="9"/>
        <v>34.607135922300003</v>
      </c>
      <c r="AN17" s="93">
        <f t="shared" si="10"/>
        <v>98.662017842999987</v>
      </c>
      <c r="AP17" s="109">
        <f t="shared" si="23"/>
        <v>487.40125284300001</v>
      </c>
      <c r="AQ17" s="183">
        <f t="shared" si="24"/>
        <v>9.3731010162115389</v>
      </c>
      <c r="AU17" s="162">
        <f t="shared" si="12"/>
        <v>54.922790999999997</v>
      </c>
      <c r="AV17" s="163">
        <f t="shared" si="13"/>
        <v>49.573168500000001</v>
      </c>
      <c r="AW17" s="164">
        <f t="shared" si="14"/>
        <v>31.859973999999998</v>
      </c>
      <c r="AY17" s="83">
        <f t="shared" si="15"/>
        <v>13.939404355799997</v>
      </c>
      <c r="AZ17" s="76">
        <f t="shared" si="16"/>
        <v>12.581670165299998</v>
      </c>
      <c r="BA17" s="79">
        <f t="shared" si="17"/>
        <v>8.0860614011999985</v>
      </c>
      <c r="BC17" s="83">
        <f t="shared" si="18"/>
        <v>68.862195355799997</v>
      </c>
      <c r="BD17" s="76">
        <f t="shared" si="19"/>
        <v>62.154838665299998</v>
      </c>
      <c r="BE17" s="79">
        <f t="shared" si="20"/>
        <v>39.946035401199993</v>
      </c>
      <c r="BG17" s="82">
        <f>BC23/BG16</f>
        <v>508.44589368222222</v>
      </c>
      <c r="BH17" s="80">
        <f>BD23/BH16</f>
        <v>458.92194299888882</v>
      </c>
      <c r="BI17" s="81">
        <f>BE23/BI16</f>
        <v>113.76358956971428</v>
      </c>
    </row>
    <row r="18" spans="2:61" ht="15" customHeight="1" thickBot="1" x14ac:dyDescent="0.3">
      <c r="B18" s="38">
        <v>13</v>
      </c>
      <c r="C18" s="59" t="s">
        <v>31</v>
      </c>
      <c r="D18" s="39">
        <v>30</v>
      </c>
      <c r="E18" s="28">
        <f>D18*D2</f>
        <v>37379.1</v>
      </c>
      <c r="F18" s="39">
        <v>20</v>
      </c>
      <c r="G18" s="39">
        <f>F18*F2</f>
        <v>57455.8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40">
        <v>49</v>
      </c>
      <c r="S18" s="29">
        <f>R18*R2</f>
        <v>102406.56999999999</v>
      </c>
      <c r="T18" s="113">
        <f>(R18+P18)*T5/60</f>
        <v>1.6333333333333333</v>
      </c>
      <c r="U18" s="40">
        <v>20</v>
      </c>
      <c r="V18" s="39">
        <f>U18*U2</f>
        <v>18848</v>
      </c>
      <c r="W18" s="113">
        <f>U18*W5/60</f>
        <v>0.66666666666666663</v>
      </c>
      <c r="X18" s="40">
        <v>20</v>
      </c>
      <c r="Y18" s="29">
        <f>X18*X2</f>
        <v>18104</v>
      </c>
      <c r="Z18" s="113">
        <f>X18*Z5/60</f>
        <v>0.66666666666666663</v>
      </c>
      <c r="AA18" s="40">
        <v>20</v>
      </c>
      <c r="AB18" s="29">
        <f>AA18*AA2</f>
        <v>18100</v>
      </c>
      <c r="AC18" s="113">
        <f>AA18*AC5/60</f>
        <v>0.66666666666666663</v>
      </c>
      <c r="AD18" s="42">
        <v>3595</v>
      </c>
      <c r="AE18" s="43">
        <v>0.44169999999999998</v>
      </c>
      <c r="AF18" s="44">
        <f t="shared" si="0"/>
        <v>11.115380499999999</v>
      </c>
      <c r="AG18" s="57">
        <f t="shared" si="21"/>
        <v>2.8864254999999996</v>
      </c>
      <c r="AH18" s="46">
        <f t="shared" si="1"/>
        <v>8.2289549999999991</v>
      </c>
      <c r="AI18" s="44">
        <f t="shared" si="25"/>
        <v>579.58769749999999</v>
      </c>
      <c r="AJ18" s="58">
        <f t="shared" si="22"/>
        <v>150.5064725</v>
      </c>
      <c r="AK18" s="74">
        <f t="shared" si="2"/>
        <v>429.08122500000002</v>
      </c>
      <c r="AL18" s="95">
        <f t="shared" si="8"/>
        <v>147.09935762549998</v>
      </c>
      <c r="AM18" s="92">
        <f t="shared" si="9"/>
        <v>38.198542720499994</v>
      </c>
      <c r="AN18" s="93">
        <f t="shared" si="10"/>
        <v>108.90081490499999</v>
      </c>
      <c r="AP18" s="109">
        <f t="shared" si="23"/>
        <v>537.98203990499997</v>
      </c>
      <c r="AQ18" s="183">
        <f t="shared" si="24"/>
        <v>10.345808459711538</v>
      </c>
      <c r="AU18" s="162">
        <f t="shared" si="12"/>
        <v>60.622484999999998</v>
      </c>
      <c r="AV18" s="163">
        <f t="shared" si="13"/>
        <v>54.717697499999993</v>
      </c>
      <c r="AW18" s="164">
        <f t="shared" si="14"/>
        <v>35.166290000000004</v>
      </c>
      <c r="AY18" s="83">
        <f t="shared" si="15"/>
        <v>15.385986692999998</v>
      </c>
      <c r="AZ18" s="76">
        <f t="shared" si="16"/>
        <v>13.887351625499997</v>
      </c>
      <c r="BA18" s="79">
        <f t="shared" si="17"/>
        <v>8.9252044020000003</v>
      </c>
      <c r="BC18" s="83">
        <f t="shared" si="18"/>
        <v>76.00847169299999</v>
      </c>
      <c r="BD18" s="76">
        <f t="shared" si="19"/>
        <v>68.605049125499988</v>
      </c>
      <c r="BE18" s="79">
        <f t="shared" si="20"/>
        <v>44.091494402000002</v>
      </c>
    </row>
    <row r="19" spans="2:61" ht="15" customHeight="1" thickBot="1" x14ac:dyDescent="0.3">
      <c r="B19" s="38">
        <v>14</v>
      </c>
      <c r="C19" s="59" t="s">
        <v>32</v>
      </c>
      <c r="D19" s="39">
        <v>15</v>
      </c>
      <c r="E19" s="28">
        <f>D19*D2</f>
        <v>18689.55</v>
      </c>
      <c r="F19" s="39">
        <v>10</v>
      </c>
      <c r="G19" s="39">
        <f>F19*F2</f>
        <v>28727.9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>
        <v>25</v>
      </c>
      <c r="S19" s="29">
        <f>R19*R2</f>
        <v>52248.249999999993</v>
      </c>
      <c r="T19" s="113">
        <f>(R19+P19)*T5/60</f>
        <v>0.83333333333333337</v>
      </c>
      <c r="U19" s="40">
        <v>10</v>
      </c>
      <c r="V19" s="39">
        <f>U19*U2</f>
        <v>9424</v>
      </c>
      <c r="W19" s="113">
        <f>U19*W5/60</f>
        <v>0.33333333333333331</v>
      </c>
      <c r="X19" s="40">
        <v>10</v>
      </c>
      <c r="Y19" s="29">
        <f>X19*X2</f>
        <v>9052</v>
      </c>
      <c r="Z19" s="113">
        <f>X19*Z5/60</f>
        <v>0.33333333333333331</v>
      </c>
      <c r="AA19" s="40">
        <v>10</v>
      </c>
      <c r="AB19" s="29">
        <f>AA19*AA2</f>
        <v>9050</v>
      </c>
      <c r="AC19" s="113">
        <f>AA19*AC5/60</f>
        <v>0.33333333333333331</v>
      </c>
      <c r="AD19" s="42">
        <v>1867</v>
      </c>
      <c r="AE19" s="43">
        <v>0.44169999999999998</v>
      </c>
      <c r="AF19" s="44">
        <f t="shared" si="0"/>
        <v>5.7725773</v>
      </c>
      <c r="AG19" s="57">
        <f t="shared" si="21"/>
        <v>1.4990143</v>
      </c>
      <c r="AH19" s="46">
        <f t="shared" si="1"/>
        <v>4.2735630000000002</v>
      </c>
      <c r="AI19" s="44">
        <f t="shared" si="25"/>
        <v>300.99867350000005</v>
      </c>
      <c r="AJ19" s="58">
        <f t="shared" si="22"/>
        <v>78.162888499999994</v>
      </c>
      <c r="AK19" s="74">
        <f t="shared" si="2"/>
        <v>222.83578500000004</v>
      </c>
      <c r="AL19" s="95">
        <f t="shared" si="8"/>
        <v>76.393463334300009</v>
      </c>
      <c r="AM19" s="92">
        <f t="shared" si="9"/>
        <v>19.837741101299997</v>
      </c>
      <c r="AN19" s="93">
        <f t="shared" si="10"/>
        <v>56.555722233000004</v>
      </c>
      <c r="AP19" s="109">
        <f t="shared" si="23"/>
        <v>279.39150723300003</v>
      </c>
      <c r="AQ19" s="103">
        <f t="shared" si="24"/>
        <v>5.3729136006346163</v>
      </c>
      <c r="AU19" s="162">
        <f t="shared" si="12"/>
        <v>31.483220999999997</v>
      </c>
      <c r="AV19" s="163">
        <f t="shared" si="13"/>
        <v>28.416673500000002</v>
      </c>
      <c r="AW19" s="164">
        <f t="shared" si="14"/>
        <v>18.262994000000003</v>
      </c>
      <c r="AY19" s="83">
        <f t="shared" si="15"/>
        <v>7.9904414897999985</v>
      </c>
      <c r="AZ19" s="76">
        <f t="shared" si="16"/>
        <v>7.2121517342999999</v>
      </c>
      <c r="BA19" s="79">
        <f t="shared" si="17"/>
        <v>4.6351478772000005</v>
      </c>
      <c r="BC19" s="83">
        <f t="shared" si="18"/>
        <v>39.473662489799992</v>
      </c>
      <c r="BD19" s="76">
        <f t="shared" si="19"/>
        <v>35.628825234300002</v>
      </c>
      <c r="BE19" s="79">
        <f t="shared" si="20"/>
        <v>22.898141877200004</v>
      </c>
    </row>
    <row r="20" spans="2:61" ht="15" customHeight="1" thickBot="1" x14ac:dyDescent="0.3">
      <c r="B20" s="38">
        <v>15</v>
      </c>
      <c r="C20" s="59" t="s">
        <v>33</v>
      </c>
      <c r="D20" s="39">
        <v>15</v>
      </c>
      <c r="E20" s="28">
        <f>D20*D2</f>
        <v>18689.55</v>
      </c>
      <c r="F20" s="39">
        <v>10</v>
      </c>
      <c r="G20" s="39">
        <f>F20*F2</f>
        <v>28727.9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>
        <v>25</v>
      </c>
      <c r="S20" s="29">
        <f>R20*R2</f>
        <v>52248.249999999993</v>
      </c>
      <c r="T20" s="113">
        <f>(R20+P20)*T5/60</f>
        <v>0.83333333333333337</v>
      </c>
      <c r="U20" s="40">
        <v>10</v>
      </c>
      <c r="V20" s="39">
        <f>U20*U2</f>
        <v>9424</v>
      </c>
      <c r="W20" s="113">
        <f>U20*W5/60</f>
        <v>0.33333333333333331</v>
      </c>
      <c r="X20" s="40">
        <v>10</v>
      </c>
      <c r="Y20" s="29">
        <f>X20*X2</f>
        <v>9052</v>
      </c>
      <c r="Z20" s="113">
        <f>X20*Z5/60</f>
        <v>0.33333333333333331</v>
      </c>
      <c r="AA20" s="40">
        <v>10</v>
      </c>
      <c r="AB20" s="29">
        <f>AA20*AA2</f>
        <v>9050</v>
      </c>
      <c r="AC20" s="113">
        <f>AA20*AC5/60</f>
        <v>0.33333333333333331</v>
      </c>
      <c r="AD20" s="42">
        <v>1871</v>
      </c>
      <c r="AE20" s="43">
        <v>0.44169999999999998</v>
      </c>
      <c r="AF20" s="44">
        <f t="shared" si="0"/>
        <v>5.7849449000000002</v>
      </c>
      <c r="AG20" s="57">
        <f t="shared" si="21"/>
        <v>1.5022259</v>
      </c>
      <c r="AH20" s="46">
        <f t="shared" si="1"/>
        <v>4.2827190000000002</v>
      </c>
      <c r="AI20" s="44">
        <f t="shared" si="25"/>
        <v>301.64355549999999</v>
      </c>
      <c r="AJ20" s="58">
        <f t="shared" si="22"/>
        <v>78.330350499999994</v>
      </c>
      <c r="AK20" s="74">
        <f t="shared" si="2"/>
        <v>223.31320499999998</v>
      </c>
      <c r="AL20" s="95">
        <f t="shared" si="8"/>
        <v>76.557134385899985</v>
      </c>
      <c r="AM20" s="92">
        <f t="shared" si="9"/>
        <v>19.880242956899995</v>
      </c>
      <c r="AN20" s="93">
        <f t="shared" si="10"/>
        <v>56.676891428999987</v>
      </c>
      <c r="AP20" s="109">
        <f t="shared" si="23"/>
        <v>279.99009642899995</v>
      </c>
      <c r="AQ20" s="184">
        <f t="shared" si="24"/>
        <v>5.3844249313269223</v>
      </c>
      <c r="AS20" t="s">
        <v>54</v>
      </c>
      <c r="AU20" s="162">
        <f t="shared" si="12"/>
        <v>31.550672999999996</v>
      </c>
      <c r="AV20" s="163">
        <f t="shared" si="13"/>
        <v>28.477555499999998</v>
      </c>
      <c r="AW20" s="164">
        <f t="shared" si="14"/>
        <v>18.302122000000001</v>
      </c>
      <c r="AY20" s="83">
        <f t="shared" si="15"/>
        <v>8.0075608073999973</v>
      </c>
      <c r="AZ20" s="76">
        <f t="shared" si="16"/>
        <v>7.227603585899999</v>
      </c>
      <c r="BA20" s="79">
        <f t="shared" si="17"/>
        <v>4.6450785635999994</v>
      </c>
      <c r="BC20" s="83">
        <f t="shared" si="18"/>
        <v>39.558233807399994</v>
      </c>
      <c r="BD20" s="76">
        <f t="shared" si="19"/>
        <v>35.705159085899993</v>
      </c>
      <c r="BE20" s="79">
        <f t="shared" si="20"/>
        <v>22.947200563599999</v>
      </c>
    </row>
    <row r="21" spans="2:61" ht="15" customHeight="1" thickBot="1" x14ac:dyDescent="0.3">
      <c r="B21" s="38">
        <v>16</v>
      </c>
      <c r="C21" s="59" t="s">
        <v>34</v>
      </c>
      <c r="D21" s="39">
        <v>30</v>
      </c>
      <c r="E21" s="28">
        <f>D21*D2</f>
        <v>37379.1</v>
      </c>
      <c r="F21" s="39">
        <v>22</v>
      </c>
      <c r="G21" s="39">
        <f>F21*F2</f>
        <v>63201.38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>
        <v>50</v>
      </c>
      <c r="S21" s="29">
        <f>R21*R2</f>
        <v>104496.49999999999</v>
      </c>
      <c r="T21" s="113">
        <f>(R21+P21)*T5/60</f>
        <v>1.6666666666666667</v>
      </c>
      <c r="U21" s="40">
        <v>22</v>
      </c>
      <c r="V21" s="39">
        <f>U21*U2</f>
        <v>20732.8</v>
      </c>
      <c r="W21" s="113">
        <f>U21*W5/60</f>
        <v>0.73333333333333328</v>
      </c>
      <c r="X21" s="40">
        <v>22</v>
      </c>
      <c r="Y21" s="29">
        <f>X21*X2</f>
        <v>19914.400000000001</v>
      </c>
      <c r="Z21" s="113">
        <f>X21*Z5/60</f>
        <v>0.73333333333333328</v>
      </c>
      <c r="AA21" s="40">
        <v>22</v>
      </c>
      <c r="AB21" s="29">
        <f>AA21*AA2</f>
        <v>19910</v>
      </c>
      <c r="AC21" s="113">
        <f>AA21*AC5/60</f>
        <v>0.73333333333333328</v>
      </c>
      <c r="AD21" s="42">
        <v>4958</v>
      </c>
      <c r="AE21" s="43">
        <v>0.44169999999999998</v>
      </c>
      <c r="AF21" s="44">
        <f t="shared" si="0"/>
        <v>15.329640199999998</v>
      </c>
      <c r="AG21" s="57">
        <f t="shared" si="21"/>
        <v>3.9807781999999996</v>
      </c>
      <c r="AH21" s="46">
        <f t="shared" si="1"/>
        <v>11.348861999999999</v>
      </c>
      <c r="AI21" s="44">
        <f t="shared" si="25"/>
        <v>799.33123899999998</v>
      </c>
      <c r="AJ21" s="58">
        <f t="shared" si="22"/>
        <v>207.56914900000001</v>
      </c>
      <c r="AK21" s="74">
        <f t="shared" si="2"/>
        <v>591.76208999999994</v>
      </c>
      <c r="AL21" s="95">
        <f t="shared" si="8"/>
        <v>202.87026845819997</v>
      </c>
      <c r="AM21" s="92">
        <f t="shared" si="9"/>
        <v>52.681050016199997</v>
      </c>
      <c r="AN21" s="93">
        <f t="shared" si="10"/>
        <v>150.18921844199997</v>
      </c>
      <c r="AP21" s="109">
        <f t="shared" si="23"/>
        <v>741.95130844199991</v>
      </c>
      <c r="AQ21" s="184">
        <f t="shared" si="24"/>
        <v>14.268294393115383</v>
      </c>
      <c r="AR21">
        <v>12.96</v>
      </c>
      <c r="AS21" s="70">
        <f>AP25/AR21</f>
        <v>597.97215463503062</v>
      </c>
      <c r="AU21" s="162">
        <f t="shared" si="12"/>
        <v>83.606753999999995</v>
      </c>
      <c r="AV21" s="163">
        <f t="shared" si="13"/>
        <v>75.463239000000002</v>
      </c>
      <c r="AW21" s="164">
        <f t="shared" si="14"/>
        <v>48.499155999999999</v>
      </c>
      <c r="AY21" s="83">
        <f t="shared" si="15"/>
        <v>21.219394165199997</v>
      </c>
      <c r="AZ21" s="76">
        <f t="shared" si="16"/>
        <v>19.152570058199998</v>
      </c>
      <c r="BA21" s="79">
        <f t="shared" si="17"/>
        <v>12.309085792799998</v>
      </c>
      <c r="BC21" s="83">
        <f t="shared" si="18"/>
        <v>104.8261481652</v>
      </c>
      <c r="BD21" s="76">
        <f t="shared" si="19"/>
        <v>94.6158090582</v>
      </c>
      <c r="BE21" s="79">
        <f t="shared" si="20"/>
        <v>60.808241792799997</v>
      </c>
    </row>
    <row r="22" spans="2:61" ht="15" customHeight="1" thickBot="1" x14ac:dyDescent="0.3">
      <c r="B22" s="61">
        <v>17</v>
      </c>
      <c r="C22" s="59" t="s">
        <v>35</v>
      </c>
      <c r="D22" s="39">
        <v>30</v>
      </c>
      <c r="E22" s="28">
        <f>D22*D2</f>
        <v>37379.1</v>
      </c>
      <c r="F22" s="39">
        <v>20</v>
      </c>
      <c r="G22" s="39">
        <f>F22*F2</f>
        <v>57455.8</v>
      </c>
      <c r="H22" s="39">
        <v>10</v>
      </c>
      <c r="I22" s="39"/>
      <c r="J22" s="39"/>
      <c r="K22" s="39"/>
      <c r="L22" s="39"/>
      <c r="M22" s="39"/>
      <c r="N22" s="39"/>
      <c r="O22" s="39"/>
      <c r="P22" s="39"/>
      <c r="Q22" s="39"/>
      <c r="R22" s="40">
        <v>50</v>
      </c>
      <c r="S22" s="29">
        <f>R22*R2</f>
        <v>104496.49999999999</v>
      </c>
      <c r="T22" s="113">
        <f>(R22+P22)*T5/60</f>
        <v>1.6666666666666667</v>
      </c>
      <c r="U22" s="40">
        <v>20</v>
      </c>
      <c r="V22" s="39">
        <f>U22*U2</f>
        <v>18848</v>
      </c>
      <c r="W22" s="113">
        <f>U22*W5/60</f>
        <v>0.66666666666666663</v>
      </c>
      <c r="X22" s="40">
        <v>20</v>
      </c>
      <c r="Y22" s="29">
        <f>X22*X2</f>
        <v>18104</v>
      </c>
      <c r="Z22" s="113">
        <f>X22*Z5/60</f>
        <v>0.66666666666666663</v>
      </c>
      <c r="AA22" s="40">
        <v>20</v>
      </c>
      <c r="AB22" s="29">
        <f>AA22*AA2</f>
        <v>18100</v>
      </c>
      <c r="AC22" s="113">
        <f>AA22*AC5/60</f>
        <v>0.66666666666666663</v>
      </c>
      <c r="AD22" s="42">
        <v>3757</v>
      </c>
      <c r="AE22" s="43">
        <v>0.44169999999999998</v>
      </c>
      <c r="AF22" s="62">
        <f t="shared" si="0"/>
        <v>11.6162683</v>
      </c>
      <c r="AG22" s="57">
        <f t="shared" si="21"/>
        <v>3.0164952999999994</v>
      </c>
      <c r="AH22" s="63">
        <f t="shared" si="1"/>
        <v>8.5997730000000008</v>
      </c>
      <c r="AI22" s="62">
        <f t="shared" si="25"/>
        <v>605.70541849999995</v>
      </c>
      <c r="AJ22" s="58">
        <f t="shared" si="22"/>
        <v>157.28868349999999</v>
      </c>
      <c r="AK22" s="75">
        <f t="shared" si="2"/>
        <v>448.41673499999996</v>
      </c>
      <c r="AL22" s="96">
        <f t="shared" si="8"/>
        <v>153.72803521529997</v>
      </c>
      <c r="AM22" s="98">
        <f t="shared" si="9"/>
        <v>39.919867872299996</v>
      </c>
      <c r="AN22" s="99">
        <f t="shared" si="10"/>
        <v>113.80816734299998</v>
      </c>
      <c r="AP22" s="110">
        <f t="shared" si="23"/>
        <v>562.22490234299994</v>
      </c>
      <c r="AQ22" s="184">
        <f t="shared" si="24"/>
        <v>10.812017352749999</v>
      </c>
      <c r="AS22" s="70">
        <f>AP24/AR21</f>
        <v>151.76543209876544</v>
      </c>
      <c r="AU22" s="165">
        <f t="shared" si="12"/>
        <v>63.354290999999996</v>
      </c>
      <c r="AV22" s="166">
        <f t="shared" si="13"/>
        <v>57.183418500000002</v>
      </c>
      <c r="AW22" s="167">
        <f t="shared" si="14"/>
        <v>36.750973999999999</v>
      </c>
      <c r="AY22" s="105">
        <f t="shared" si="15"/>
        <v>16.079319055799996</v>
      </c>
      <c r="AZ22" s="106">
        <f t="shared" si="16"/>
        <v>14.513151615299998</v>
      </c>
      <c r="BA22" s="107">
        <f t="shared" si="17"/>
        <v>9.3273972011999984</v>
      </c>
      <c r="BC22" s="105">
        <f t="shared" si="18"/>
        <v>79.433610055799988</v>
      </c>
      <c r="BD22" s="106">
        <f t="shared" si="19"/>
        <v>71.696570115300005</v>
      </c>
      <c r="BE22" s="107">
        <f t="shared" si="20"/>
        <v>46.0783712012</v>
      </c>
    </row>
    <row r="23" spans="2:61" ht="15" customHeight="1" thickBot="1" x14ac:dyDescent="0.3">
      <c r="B23" s="60"/>
      <c r="C23" s="16" t="s">
        <v>16</v>
      </c>
      <c r="D23" s="16">
        <f>SUM(D6:D22)</f>
        <v>407</v>
      </c>
      <c r="E23" s="16">
        <f t="shared" ref="E23:J23" si="28">SUM(E6:E22)</f>
        <v>507109.78999999992</v>
      </c>
      <c r="F23" s="16">
        <f t="shared" si="28"/>
        <v>281</v>
      </c>
      <c r="G23" s="16">
        <f t="shared" si="28"/>
        <v>807253.99000000022</v>
      </c>
      <c r="H23" s="16">
        <f t="shared" si="28"/>
        <v>53</v>
      </c>
      <c r="I23" s="16">
        <f t="shared" si="28"/>
        <v>0</v>
      </c>
      <c r="J23" s="16">
        <f t="shared" si="28"/>
        <v>0</v>
      </c>
      <c r="K23" s="16">
        <f t="shared" ref="K23:AC23" si="29">SUM(K6:K22)</f>
        <v>0</v>
      </c>
      <c r="L23" s="16"/>
      <c r="M23" s="16">
        <f t="shared" si="29"/>
        <v>3730</v>
      </c>
      <c r="N23" s="16">
        <f t="shared" si="29"/>
        <v>366</v>
      </c>
      <c r="O23" s="53">
        <f t="shared" si="29"/>
        <v>54.61333333333333</v>
      </c>
      <c r="P23" s="16">
        <f t="shared" si="29"/>
        <v>183</v>
      </c>
      <c r="Q23" s="53">
        <f t="shared" si="29"/>
        <v>6.1</v>
      </c>
      <c r="R23" s="16">
        <f t="shared" si="29"/>
        <v>681</v>
      </c>
      <c r="S23" s="16">
        <f t="shared" si="29"/>
        <v>1423242.3299999998</v>
      </c>
      <c r="T23" s="16">
        <f t="shared" si="29"/>
        <v>28.799999999999994</v>
      </c>
      <c r="U23" s="16">
        <f t="shared" si="29"/>
        <v>280</v>
      </c>
      <c r="V23" s="16">
        <f t="shared" si="29"/>
        <v>263872</v>
      </c>
      <c r="W23" s="53">
        <f t="shared" si="29"/>
        <v>9.3333333333333304</v>
      </c>
      <c r="X23" s="53">
        <f t="shared" si="29"/>
        <v>280</v>
      </c>
      <c r="Y23" s="53">
        <f t="shared" si="29"/>
        <v>253456</v>
      </c>
      <c r="Z23" s="53">
        <f t="shared" si="29"/>
        <v>9.3333333333333304</v>
      </c>
      <c r="AA23" s="16">
        <f t="shared" si="29"/>
        <v>280</v>
      </c>
      <c r="AB23" s="16">
        <f t="shared" si="29"/>
        <v>253400</v>
      </c>
      <c r="AC23" s="53">
        <f t="shared" si="29"/>
        <v>9.3333333333333304</v>
      </c>
      <c r="AD23" s="3">
        <f>SUM(AD6:AD22)</f>
        <v>64930</v>
      </c>
      <c r="AE23" s="3">
        <v>0.44169999999999998</v>
      </c>
      <c r="AF23" s="49">
        <f t="shared" ref="AF23:AN23" si="30">SUM(AF6:AF22)</f>
        <v>200.75706699999998</v>
      </c>
      <c r="AG23" s="53">
        <f t="shared" si="30"/>
        <v>52.132297000000008</v>
      </c>
      <c r="AH23" s="49">
        <f t="shared" si="30"/>
        <v>148.62476999999998</v>
      </c>
      <c r="AI23" s="49">
        <f t="shared" si="30"/>
        <v>10468.047064999999</v>
      </c>
      <c r="AJ23" s="55">
        <f t="shared" si="30"/>
        <v>2718.3269150000001</v>
      </c>
      <c r="AK23" s="56">
        <f t="shared" si="30"/>
        <v>7749.7201500000001</v>
      </c>
      <c r="AL23" s="97">
        <f t="shared" si="30"/>
        <v>2656.7903450969993</v>
      </c>
      <c r="AM23" s="101">
        <f t="shared" si="30"/>
        <v>689.91137102699986</v>
      </c>
      <c r="AN23" s="102">
        <f t="shared" si="30"/>
        <v>1966.8789740700001</v>
      </c>
      <c r="AP23" s="69">
        <f>SUM(AP6:AP22)</f>
        <v>9716.5991240699968</v>
      </c>
      <c r="AQ23" s="69">
        <f>SUM(AQ6:AQ22)</f>
        <v>186.8576754628846</v>
      </c>
      <c r="AS23">
        <f>AP23/AR21</f>
        <v>749.73758673379598</v>
      </c>
      <c r="AU23" s="168">
        <f>SUM(AU6:AU22)</f>
        <v>1094.9145899999999</v>
      </c>
      <c r="AV23" s="169">
        <f t="shared" ref="AV23:BA23" si="31">SUM(AV6:AV22)</f>
        <v>988.267065</v>
      </c>
      <c r="AW23" s="169">
        <f t="shared" si="31"/>
        <v>635.14526000000012</v>
      </c>
      <c r="AX23" s="103"/>
      <c r="AY23" s="82">
        <f t="shared" si="31"/>
        <v>277.88932294199998</v>
      </c>
      <c r="AZ23" s="80">
        <f t="shared" si="31"/>
        <v>250.82218109699994</v>
      </c>
      <c r="BA23" s="81">
        <f t="shared" si="31"/>
        <v>161.199866988</v>
      </c>
      <c r="BC23" s="82">
        <f>SUM(BC6:BC22)</f>
        <v>1372.8039129420001</v>
      </c>
      <c r="BD23" s="80">
        <f t="shared" ref="BD23:BE23" si="32">SUM(BD6:BD22)</f>
        <v>1239.0892460969999</v>
      </c>
      <c r="BE23" s="81">
        <f t="shared" si="32"/>
        <v>796.34512698799995</v>
      </c>
    </row>
    <row r="24" spans="2:61" ht="31.5" customHeight="1" thickBot="1" x14ac:dyDescent="0.3">
      <c r="B24" s="48"/>
      <c r="C24" s="50" t="s">
        <v>17</v>
      </c>
      <c r="D24" s="3">
        <f>D5+D23</f>
        <v>407</v>
      </c>
      <c r="E24" s="3">
        <f t="shared" ref="E24:J24" si="33">E5+E23</f>
        <v>507109.78999999992</v>
      </c>
      <c r="F24" s="3">
        <f t="shared" si="33"/>
        <v>281</v>
      </c>
      <c r="G24" s="3">
        <f t="shared" si="33"/>
        <v>807253.99000000022</v>
      </c>
      <c r="H24" s="3">
        <f t="shared" si="33"/>
        <v>93</v>
      </c>
      <c r="I24" s="3">
        <f t="shared" si="33"/>
        <v>84</v>
      </c>
      <c r="J24" s="3">
        <f t="shared" si="33"/>
        <v>198716.28</v>
      </c>
      <c r="K24" s="3">
        <f t="shared" ref="K24:AB24" si="34">K5+K23</f>
        <v>2933</v>
      </c>
      <c r="L24" s="3"/>
      <c r="M24" s="3">
        <f t="shared" si="34"/>
        <v>7304</v>
      </c>
      <c r="N24" s="3">
        <f t="shared" si="34"/>
        <v>366</v>
      </c>
      <c r="O24" s="49">
        <f t="shared" si="34"/>
        <v>141.37333333333333</v>
      </c>
      <c r="P24" s="3">
        <f t="shared" si="34"/>
        <v>183</v>
      </c>
      <c r="Q24" s="49">
        <f>Q4+Q23</f>
        <v>6.1</v>
      </c>
      <c r="R24" s="3">
        <f t="shared" si="34"/>
        <v>841</v>
      </c>
      <c r="S24" s="3">
        <f t="shared" si="34"/>
        <v>1757631.13</v>
      </c>
      <c r="T24" s="49">
        <f>T4+T23</f>
        <v>34.133333333333326</v>
      </c>
      <c r="U24" s="3">
        <f t="shared" si="34"/>
        <v>364</v>
      </c>
      <c r="V24" s="3">
        <f t="shared" si="34"/>
        <v>343033.59999999998</v>
      </c>
      <c r="W24" s="49">
        <f>W4+W23</f>
        <v>12.133333333333329</v>
      </c>
      <c r="X24" s="3">
        <f t="shared" si="34"/>
        <v>364</v>
      </c>
      <c r="Y24" s="3">
        <f t="shared" si="34"/>
        <v>329492.8</v>
      </c>
      <c r="Z24" s="49">
        <f>Z4+Z23</f>
        <v>12.133333333333329</v>
      </c>
      <c r="AA24" s="3">
        <f t="shared" si="34"/>
        <v>364</v>
      </c>
      <c r="AB24" s="3">
        <f t="shared" si="34"/>
        <v>329420</v>
      </c>
      <c r="AC24" s="49">
        <f>AC4+AC23</f>
        <v>12.133333333333329</v>
      </c>
      <c r="AD24" s="52">
        <f>AD23+AD5</f>
        <v>82352</v>
      </c>
      <c r="AE24" s="51"/>
      <c r="AF24" s="49">
        <f t="shared" ref="AF24:AN24" si="35">AF23+AF5</f>
        <v>318.66219419999993</v>
      </c>
      <c r="AG24" s="53">
        <f t="shared" si="35"/>
        <v>99.584598400000004</v>
      </c>
      <c r="AH24" s="49">
        <f t="shared" si="35"/>
        <v>219.07759579999998</v>
      </c>
      <c r="AI24" s="54">
        <f t="shared" si="35"/>
        <v>16615.957268999999</v>
      </c>
      <c r="AJ24" s="55">
        <f t="shared" si="35"/>
        <v>5192.6254879999997</v>
      </c>
      <c r="AK24" s="56">
        <f t="shared" si="35"/>
        <v>11423.331781000001</v>
      </c>
      <c r="AL24" s="100">
        <f t="shared" si="35"/>
        <v>4217.1299548721991</v>
      </c>
      <c r="AM24" s="55">
        <f t="shared" si="35"/>
        <v>1317.8883488543997</v>
      </c>
      <c r="AN24" s="56">
        <f t="shared" si="35"/>
        <v>2899.2416060178002</v>
      </c>
      <c r="AP24">
        <v>1966.88</v>
      </c>
      <c r="BC24" s="70">
        <f>BC23+BC4</f>
        <v>2700.3003899730002</v>
      </c>
      <c r="BD24" s="70">
        <f t="shared" ref="BD24:BE24" si="36">BD23+BD4</f>
        <v>2317.8296265312001</v>
      </c>
      <c r="BE24" s="70">
        <f t="shared" si="36"/>
        <v>1492.3838203502</v>
      </c>
    </row>
    <row r="25" spans="2:61" ht="15.75" thickBot="1" x14ac:dyDescent="0.3">
      <c r="AP25" s="70">
        <f>AP23-AP24</f>
        <v>7749.7191240699967</v>
      </c>
      <c r="AQ25" s="70"/>
      <c r="BC25" s="70">
        <f>68%*BC24</f>
        <v>1836.2042651816403</v>
      </c>
      <c r="BD25" s="70">
        <f>60%*BD24</f>
        <v>1390.69777591872</v>
      </c>
      <c r="BE25" s="70">
        <f>44%*BE24</f>
        <v>656.64888095408799</v>
      </c>
    </row>
    <row r="26" spans="2:61" ht="63.75" thickBot="1" x14ac:dyDescent="0.3">
      <c r="D26" s="3" t="s">
        <v>5</v>
      </c>
      <c r="E26" s="4"/>
      <c r="F26" s="3" t="s">
        <v>45</v>
      </c>
      <c r="G26" s="5"/>
      <c r="H26" s="5" t="s">
        <v>6</v>
      </c>
      <c r="I26" s="4" t="s">
        <v>45</v>
      </c>
      <c r="J26" s="3"/>
      <c r="K26" s="5" t="s">
        <v>7</v>
      </c>
      <c r="L26" s="5"/>
      <c r="M26" s="5" t="s">
        <v>45</v>
      </c>
      <c r="N26" s="6" t="s">
        <v>8</v>
      </c>
      <c r="O26" s="5" t="s">
        <v>45</v>
      </c>
      <c r="P26" s="3" t="s">
        <v>46</v>
      </c>
      <c r="Q26" s="1" t="s">
        <v>45</v>
      </c>
      <c r="BC26" s="70"/>
    </row>
    <row r="27" spans="2:61" ht="16.5" thickBot="1" x14ac:dyDescent="0.3">
      <c r="D27" s="14">
        <v>160</v>
      </c>
      <c r="E27" s="15"/>
      <c r="F27" s="139">
        <f>(D27+C27)*F28/60</f>
        <v>5.333333333333333</v>
      </c>
      <c r="G27" s="138"/>
      <c r="H27" s="111">
        <v>84</v>
      </c>
      <c r="I27" s="15">
        <f>H27*I28/60</f>
        <v>2.8</v>
      </c>
      <c r="J27" s="14"/>
      <c r="K27" s="140">
        <v>84</v>
      </c>
      <c r="L27" s="13"/>
      <c r="M27" s="13">
        <f>K27*M28/60</f>
        <v>2.8</v>
      </c>
      <c r="N27" s="12">
        <v>84</v>
      </c>
      <c r="O27" s="23">
        <f>N27*O28/60</f>
        <v>2.8</v>
      </c>
      <c r="P27" s="111">
        <v>2933</v>
      </c>
      <c r="Q27" s="160">
        <v>86.76</v>
      </c>
      <c r="S27">
        <f>T23*52</f>
        <v>1497.5999999999997</v>
      </c>
      <c r="T27" s="70">
        <f>T7+SUM(T10:T13)</f>
        <v>9.2000000000000011</v>
      </c>
      <c r="V27" s="70">
        <f>T27+O23</f>
        <v>63.813333333333333</v>
      </c>
      <c r="W27">
        <f>12*W23</f>
        <v>111.99999999999997</v>
      </c>
      <c r="Z27">
        <f>12*Z23</f>
        <v>111.99999999999997</v>
      </c>
      <c r="AC27" s="70">
        <f>26*AC23</f>
        <v>242.6666666666666</v>
      </c>
      <c r="BB27" t="s">
        <v>57</v>
      </c>
      <c r="BC27" s="70">
        <f>33.14%*BC25</f>
        <v>608.51809348119559</v>
      </c>
    </row>
    <row r="28" spans="2:61" ht="16.5" thickBot="1" x14ac:dyDescent="0.3">
      <c r="D28" s="12">
        <f t="shared" ref="D28" si="37">D27</f>
        <v>160</v>
      </c>
      <c r="E28" s="127"/>
      <c r="F28" s="111">
        <v>2</v>
      </c>
      <c r="G28" s="126"/>
      <c r="H28" s="126">
        <f t="shared" ref="H28" si="38">H27</f>
        <v>84</v>
      </c>
      <c r="I28" s="127">
        <v>2</v>
      </c>
      <c r="J28" s="111"/>
      <c r="K28" s="126">
        <f t="shared" ref="K28" si="39">K27</f>
        <v>84</v>
      </c>
      <c r="L28" s="126"/>
      <c r="M28" s="126">
        <v>2</v>
      </c>
      <c r="N28" s="127">
        <f t="shared" ref="N28" si="40">N27</f>
        <v>84</v>
      </c>
      <c r="O28" s="12">
        <v>2</v>
      </c>
      <c r="T28" s="70">
        <f>T23-T27</f>
        <v>19.599999999999994</v>
      </c>
      <c r="V28">
        <f>52*V27</f>
        <v>3318.2933333333331</v>
      </c>
      <c r="BB28" t="s">
        <v>58</v>
      </c>
      <c r="BC28" s="70">
        <f>BC25-BC27</f>
        <v>1227.6861717004447</v>
      </c>
    </row>
    <row r="29" spans="2:61" x14ac:dyDescent="0.25">
      <c r="D29" s="128" t="s">
        <v>51</v>
      </c>
      <c r="E29" s="128"/>
      <c r="F29" s="108">
        <f>46.54%*F27</f>
        <v>2.4821333333333331</v>
      </c>
      <c r="G29" s="132"/>
      <c r="H29" s="130"/>
      <c r="I29" s="108">
        <f>46.54%*I27</f>
        <v>1.3031199999999998</v>
      </c>
      <c r="J29" s="132"/>
      <c r="K29" s="132"/>
      <c r="L29" s="132"/>
      <c r="M29" s="108">
        <f>46.54%*M27</f>
        <v>1.3031199999999998</v>
      </c>
      <c r="N29" s="132"/>
      <c r="O29" s="108">
        <f>46.54%*O27</f>
        <v>1.3031199999999998</v>
      </c>
      <c r="T29">
        <f>52*T28</f>
        <v>1019.1999999999997</v>
      </c>
    </row>
    <row r="30" spans="2:61" ht="15.75" thickBot="1" x14ac:dyDescent="0.3">
      <c r="D30" s="134" t="s">
        <v>52</v>
      </c>
      <c r="E30" s="134"/>
      <c r="F30" s="135">
        <f>53.46%*F27</f>
        <v>2.8511999999999995</v>
      </c>
      <c r="G30" s="137"/>
      <c r="H30" s="136"/>
      <c r="I30" s="135">
        <f>53.46%*I27</f>
        <v>1.4968799999999998</v>
      </c>
      <c r="J30" s="137"/>
      <c r="K30" s="137"/>
      <c r="L30" s="137"/>
      <c r="M30" s="135">
        <f>53.46%*M27</f>
        <v>1.4968799999999998</v>
      </c>
      <c r="N30" s="137"/>
      <c r="O30" s="135">
        <f>53.46%*O27</f>
        <v>1.4968799999999998</v>
      </c>
      <c r="Q30" s="161">
        <f>52*O23</f>
        <v>2839.893333333333</v>
      </c>
    </row>
    <row r="31" spans="2:61" x14ac:dyDescent="0.25">
      <c r="D31" s="128" t="s">
        <v>51</v>
      </c>
      <c r="E31" s="128"/>
      <c r="F31" s="108">
        <f>26*F29*(6+2)</f>
        <v>516.28373333333332</v>
      </c>
      <c r="G31" s="132"/>
      <c r="H31" s="130"/>
      <c r="I31" s="108">
        <f>12*I29</f>
        <v>15.637439999999998</v>
      </c>
      <c r="J31" s="132"/>
      <c r="K31" s="130"/>
      <c r="L31" s="130"/>
      <c r="M31" s="108">
        <f>52*M29</f>
        <v>67.762239999999991</v>
      </c>
      <c r="N31" s="130"/>
      <c r="O31" s="108">
        <f>52*O29</f>
        <v>67.762239999999991</v>
      </c>
    </row>
    <row r="32" spans="2:61" ht="15.75" thickBot="1" x14ac:dyDescent="0.3">
      <c r="D32" s="129" t="s">
        <v>52</v>
      </c>
      <c r="E32" s="129"/>
      <c r="F32" s="110">
        <f>F30*26*5</f>
        <v>370.65599999999995</v>
      </c>
      <c r="G32" s="133"/>
      <c r="H32" s="131"/>
      <c r="I32" s="110">
        <f>12*I30</f>
        <v>17.962559999999996</v>
      </c>
      <c r="J32" s="133"/>
      <c r="K32" s="131"/>
      <c r="L32" s="131"/>
      <c r="M32" s="110">
        <f>26*M30</f>
        <v>38.918879999999994</v>
      </c>
      <c r="N32" s="131"/>
      <c r="O32" s="110">
        <f>52*O30</f>
        <v>77.837759999999989</v>
      </c>
      <c r="S32">
        <v>8860</v>
      </c>
      <c r="T32">
        <v>0.8</v>
      </c>
      <c r="U32" s="70">
        <f>S32*T32*52/60</f>
        <v>6142.9333333333334</v>
      </c>
    </row>
  </sheetData>
  <mergeCells count="2">
    <mergeCell ref="BG7:BI7"/>
    <mergeCell ref="BG14:BI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2"/>
  <sheetViews>
    <sheetView workbookViewId="0">
      <selection activeCell="H25" sqref="H25"/>
    </sheetView>
  </sheetViews>
  <sheetFormatPr defaultRowHeight="15" x14ac:dyDescent="0.25"/>
  <cols>
    <col min="3" max="3" width="17.42578125" customWidth="1"/>
  </cols>
  <sheetData>
    <row r="3" spans="2:6" ht="15.75" thickBot="1" x14ac:dyDescent="0.3"/>
    <row r="4" spans="2:6" ht="20.25" customHeight="1" thickBot="1" x14ac:dyDescent="0.3">
      <c r="B4" s="1" t="s">
        <v>0</v>
      </c>
      <c r="C4" s="2" t="s">
        <v>59</v>
      </c>
      <c r="D4" s="7" t="s">
        <v>37</v>
      </c>
      <c r="E4" s="64" t="s">
        <v>38</v>
      </c>
      <c r="F4" s="65" t="s">
        <v>39</v>
      </c>
    </row>
    <row r="5" spans="2:6" ht="13.5" customHeight="1" x14ac:dyDescent="0.25">
      <c r="B5" s="27">
        <v>1</v>
      </c>
      <c r="C5" s="30" t="s">
        <v>19</v>
      </c>
      <c r="D5" s="170">
        <v>121.43046299999999</v>
      </c>
      <c r="E5" s="170">
        <v>109.60282050000001</v>
      </c>
      <c r="F5" s="171">
        <v>70.440182000000007</v>
      </c>
    </row>
    <row r="6" spans="2:6" ht="13.5" customHeight="1" x14ac:dyDescent="0.25">
      <c r="B6" s="38">
        <v>2</v>
      </c>
      <c r="C6" s="41" t="s">
        <v>20</v>
      </c>
      <c r="D6" s="175">
        <v>59.155403999999997</v>
      </c>
      <c r="E6" s="175">
        <v>53.393513999999996</v>
      </c>
      <c r="F6" s="173">
        <v>34.315255999999998</v>
      </c>
    </row>
    <row r="7" spans="2:6" ht="13.5" customHeight="1" x14ac:dyDescent="0.25">
      <c r="B7" s="38">
        <v>3</v>
      </c>
      <c r="C7" s="41" t="s">
        <v>21</v>
      </c>
      <c r="D7" s="175">
        <v>62.511140999999995</v>
      </c>
      <c r="E7" s="175">
        <v>56.422393499999998</v>
      </c>
      <c r="F7" s="173">
        <v>36.261874000000006</v>
      </c>
    </row>
    <row r="8" spans="2:6" ht="13.5" customHeight="1" x14ac:dyDescent="0.25">
      <c r="B8" s="38">
        <v>4</v>
      </c>
      <c r="C8" s="41" t="s">
        <v>22</v>
      </c>
      <c r="D8" s="175">
        <v>121.54850399999998</v>
      </c>
      <c r="E8" s="175">
        <v>109.70936400000001</v>
      </c>
      <c r="F8" s="173">
        <v>70.508656000000002</v>
      </c>
    </row>
    <row r="9" spans="2:6" ht="13.5" customHeight="1" x14ac:dyDescent="0.25">
      <c r="B9" s="38">
        <v>5</v>
      </c>
      <c r="C9" s="59" t="s">
        <v>23</v>
      </c>
      <c r="D9" s="175">
        <v>29.341619999999995</v>
      </c>
      <c r="E9" s="175">
        <v>26.483669999999996</v>
      </c>
      <c r="F9" s="173">
        <v>17.020679999999999</v>
      </c>
    </row>
    <row r="10" spans="2:6" ht="13.5" customHeight="1" x14ac:dyDescent="0.25">
      <c r="B10" s="38">
        <v>6</v>
      </c>
      <c r="C10" s="59" t="s">
        <v>24</v>
      </c>
      <c r="D10" s="175">
        <v>75.428198999999992</v>
      </c>
      <c r="E10" s="175">
        <v>68.081296499999993</v>
      </c>
      <c r="F10" s="173">
        <v>43.754885999999999</v>
      </c>
    </row>
    <row r="11" spans="2:6" ht="13.5" customHeight="1" x14ac:dyDescent="0.25">
      <c r="B11" s="38">
        <v>7</v>
      </c>
      <c r="C11" s="59" t="s">
        <v>25</v>
      </c>
      <c r="D11" s="175">
        <v>26.441183999999996</v>
      </c>
      <c r="E11" s="175">
        <v>23.865743999999999</v>
      </c>
      <c r="F11" s="173">
        <v>15.338176000000001</v>
      </c>
    </row>
    <row r="12" spans="2:6" ht="13.5" customHeight="1" x14ac:dyDescent="0.25">
      <c r="B12" s="38">
        <v>8</v>
      </c>
      <c r="C12" s="59" t="s">
        <v>26</v>
      </c>
      <c r="D12" s="175">
        <v>49.998795000000001</v>
      </c>
      <c r="E12" s="175">
        <v>45.1287825</v>
      </c>
      <c r="F12" s="173">
        <v>29.003630000000001</v>
      </c>
    </row>
    <row r="13" spans="2:6" ht="13.5" customHeight="1" x14ac:dyDescent="0.25">
      <c r="B13" s="38">
        <v>9</v>
      </c>
      <c r="C13" s="59" t="s">
        <v>27</v>
      </c>
      <c r="D13" s="175">
        <v>119.508081</v>
      </c>
      <c r="E13" s="175">
        <v>107.8676835</v>
      </c>
      <c r="F13" s="173">
        <v>69.325034000000002</v>
      </c>
    </row>
    <row r="14" spans="2:6" ht="13.5" customHeight="1" x14ac:dyDescent="0.25">
      <c r="B14" s="38">
        <v>10</v>
      </c>
      <c r="C14" s="59" t="s">
        <v>28</v>
      </c>
      <c r="D14" s="175">
        <v>48.312495000000006</v>
      </c>
      <c r="E14" s="175">
        <v>43.6067325</v>
      </c>
      <c r="F14" s="173">
        <v>28.02543</v>
      </c>
    </row>
    <row r="15" spans="2:6" ht="13.5" customHeight="1" x14ac:dyDescent="0.25">
      <c r="B15" s="38">
        <v>11</v>
      </c>
      <c r="C15" s="59" t="s">
        <v>29</v>
      </c>
      <c r="D15" s="175">
        <v>55.698489000000002</v>
      </c>
      <c r="E15" s="175">
        <v>50.273311499999998</v>
      </c>
      <c r="F15" s="173">
        <v>32.309946000000004</v>
      </c>
    </row>
    <row r="16" spans="2:6" ht="13.5" customHeight="1" x14ac:dyDescent="0.25">
      <c r="B16" s="38">
        <v>12</v>
      </c>
      <c r="C16" s="59" t="s">
        <v>30</v>
      </c>
      <c r="D16" s="175">
        <v>54.922790999999997</v>
      </c>
      <c r="E16" s="175">
        <v>49.573168500000001</v>
      </c>
      <c r="F16" s="173">
        <v>31.859973999999998</v>
      </c>
    </row>
    <row r="17" spans="2:6" ht="13.5" customHeight="1" x14ac:dyDescent="0.25">
      <c r="B17" s="38">
        <v>13</v>
      </c>
      <c r="C17" s="59" t="s">
        <v>31</v>
      </c>
      <c r="D17" s="175">
        <v>60.622484999999998</v>
      </c>
      <c r="E17" s="175">
        <v>54.717697499999993</v>
      </c>
      <c r="F17" s="173">
        <v>35.166290000000004</v>
      </c>
    </row>
    <row r="18" spans="2:6" ht="13.5" customHeight="1" x14ac:dyDescent="0.25">
      <c r="B18" s="38">
        <v>14</v>
      </c>
      <c r="C18" s="59" t="s">
        <v>32</v>
      </c>
      <c r="D18" s="175">
        <v>31.483220999999997</v>
      </c>
      <c r="E18" s="175">
        <v>28.416673500000002</v>
      </c>
      <c r="F18" s="173">
        <v>18.262994000000003</v>
      </c>
    </row>
    <row r="19" spans="2:6" ht="13.5" customHeight="1" x14ac:dyDescent="0.25">
      <c r="B19" s="38">
        <v>15</v>
      </c>
      <c r="C19" s="59" t="s">
        <v>33</v>
      </c>
      <c r="D19" s="175">
        <v>31.550672999999996</v>
      </c>
      <c r="E19" s="175">
        <v>28.477555499999998</v>
      </c>
      <c r="F19" s="173">
        <v>18.302122000000001</v>
      </c>
    </row>
    <row r="20" spans="2:6" ht="13.5" customHeight="1" x14ac:dyDescent="0.25">
      <c r="B20" s="38">
        <v>16</v>
      </c>
      <c r="C20" s="59" t="s">
        <v>34</v>
      </c>
      <c r="D20" s="175">
        <v>83.606753999999995</v>
      </c>
      <c r="E20" s="175">
        <v>75.463239000000002</v>
      </c>
      <c r="F20" s="173">
        <v>48.499155999999999</v>
      </c>
    </row>
    <row r="21" spans="2:6" ht="13.5" customHeight="1" thickBot="1" x14ac:dyDescent="0.3">
      <c r="B21" s="61">
        <v>17</v>
      </c>
      <c r="C21" s="59" t="s">
        <v>35</v>
      </c>
      <c r="D21" s="176">
        <v>63.354290999999996</v>
      </c>
      <c r="E21" s="176">
        <v>57.183418500000002</v>
      </c>
      <c r="F21" s="174">
        <v>36.750973999999999</v>
      </c>
    </row>
    <row r="22" spans="2:6" ht="13.5" customHeight="1" thickBot="1" x14ac:dyDescent="0.3">
      <c r="B22" s="60"/>
      <c r="C22" s="16" t="s">
        <v>16</v>
      </c>
      <c r="D22" s="172">
        <v>1094.9145899999999</v>
      </c>
      <c r="E22" s="177">
        <v>988.267065</v>
      </c>
      <c r="F22" s="177">
        <v>635.14526000000012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 Anexa 7</vt:lpstr>
      <vt:lpstr> Anexa 8</vt:lpstr>
      <vt:lpstr>Anexa 4</vt:lpstr>
      <vt:lpstr> Anexa 3 p</vt:lpstr>
      <vt:lpstr>Anexa 3 c</vt:lpstr>
      <vt:lpstr>Anexa 2</vt:lpstr>
      <vt:lpstr>Sheet1</vt:lpstr>
      <vt:lpstr>Sheet2</vt:lpstr>
      <vt:lpstr>'Anexa 2'!Print_Area</vt:lpstr>
      <vt:lpstr>'Anexa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Dell-Inspiron17</dc:creator>
  <cp:lastModifiedBy>LENOVO</cp:lastModifiedBy>
  <cp:lastPrinted>2026-02-02T12:24:08Z</cp:lastPrinted>
  <dcterms:created xsi:type="dcterms:W3CDTF">2016-07-12T18:52:00Z</dcterms:created>
  <dcterms:modified xsi:type="dcterms:W3CDTF">2026-02-06T18:40:59Z</dcterms:modified>
</cp:coreProperties>
</file>